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\\Gm-srv-02\nav\JetReports\Scheduler\Output\"/>
    </mc:Choice>
  </mc:AlternateContent>
  <xr:revisionPtr revIDLastSave="0" documentId="8_{1E556905-E11F-46C4-8D1B-99C3E38D3ADE}" xr6:coauthVersionLast="36" xr6:coauthVersionMax="36" xr10:uidLastSave="{00000000-0000-0000-0000-000000000000}"/>
  <bookViews>
    <workbookView xWindow="480" yWindow="120" windowWidth="15180" windowHeight="11640" xr2:uid="{00000000-000D-0000-FFFF-FFFF00000000}"/>
  </bookViews>
  <sheets>
    <sheet name="Artikel MDR Swiss AR" sheetId="1" r:id="rId1"/>
  </sheets>
  <definedNames>
    <definedName name="_FilterDatabase" localSheetId="0" hidden="1">'Artikel MDR Swiss AR'!$A$10:$P$560</definedName>
    <definedName name="_xlnm._FilterDatabase" localSheetId="0" hidden="1">'Artikel MDR Swiss AR'!$A$10:$P$10</definedName>
    <definedName name="_xlnm.Print_Titles" localSheetId="0">'Artikel MDR Swiss AR'!$4:$10</definedName>
    <definedName name="Emailbody">#REF!</definedName>
    <definedName name="Emaillist">#REF!</definedName>
    <definedName name="Emailsubject">#REF!</definedName>
  </definedNames>
  <calcPr calcId="191029"/>
</workbook>
</file>

<file path=xl/calcChain.xml><?xml version="1.0" encoding="utf-8"?>
<calcChain xmlns="http://schemas.openxmlformats.org/spreadsheetml/2006/main">
  <c r="B8" i="1" l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A30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A31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A34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A35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A36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A37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A38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A39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A40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A41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A42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A43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A44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A45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A46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A47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A48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A49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A50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A51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A52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A53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A54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A55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A56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A57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A58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A59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A60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A61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A62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A63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A64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A65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A66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A67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A68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A69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A70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A71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A72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A73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A74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A75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A76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A77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A78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A79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A80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A81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A82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A83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A84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A85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A86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A87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A88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A89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A90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A91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A92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A93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A94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A95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A96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A97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A98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A99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A100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A101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A102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A103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A104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A105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A106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A107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A108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A109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A110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A111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A112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A113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A114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A115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A116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A117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A118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A119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A120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A121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A122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A123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A124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A125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A126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A127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A128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A129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A130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A131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A132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A133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A134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A135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A136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A137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A138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A139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A140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A141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A142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A143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A144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A145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A146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A147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A148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A149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A150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A151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A152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A153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A154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A155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A156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A157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A158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A159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A160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A161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A162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A163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A164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A165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A166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A167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A168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A169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A170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A171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A172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A173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A174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A175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A176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A177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A178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A179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A180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A181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A182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A183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A184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A185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A186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A187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A188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A189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A190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A191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A192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A193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A194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A195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A196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A197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A198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A199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A200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A201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A202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A203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A204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A205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A206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A207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A208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A209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A210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A211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A212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A213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A214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A215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A216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A217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A218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A219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A220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A221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A222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A223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A224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A225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A226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A227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A228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A229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A230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A231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A232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A233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A234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A235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A236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A237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A238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A239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A240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A241" i="1"/>
  <c r="B241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A242" i="1"/>
  <c r="B242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A243" i="1"/>
  <c r="B243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A244" i="1"/>
  <c r="B244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A245" i="1"/>
  <c r="B245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A246" i="1"/>
  <c r="B246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A247" i="1"/>
  <c r="B247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A248" i="1"/>
  <c r="B248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A249" i="1"/>
  <c r="B249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A250" i="1"/>
  <c r="B250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A251" i="1"/>
  <c r="B251" i="1"/>
  <c r="C251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A252" i="1"/>
  <c r="B252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A253" i="1"/>
  <c r="B253" i="1"/>
  <c r="C253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A254" i="1"/>
  <c r="B254" i="1"/>
  <c r="C254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A255" i="1"/>
  <c r="B255" i="1"/>
  <c r="C255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A256" i="1"/>
  <c r="B256" i="1"/>
  <c r="C256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A257" i="1"/>
  <c r="B257" i="1"/>
  <c r="C257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A258" i="1"/>
  <c r="B258" i="1"/>
  <c r="C258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A259" i="1"/>
  <c r="B259" i="1"/>
  <c r="C259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A260" i="1"/>
  <c r="B260" i="1"/>
  <c r="C260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A261" i="1"/>
  <c r="B261" i="1"/>
  <c r="C261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A262" i="1"/>
  <c r="B262" i="1"/>
  <c r="C262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P262" i="1"/>
  <c r="A263" i="1"/>
  <c r="B263" i="1"/>
  <c r="C263" i="1"/>
  <c r="D263" i="1"/>
  <c r="E263" i="1"/>
  <c r="F263" i="1"/>
  <c r="G263" i="1"/>
  <c r="H263" i="1"/>
  <c r="I263" i="1"/>
  <c r="J263" i="1"/>
  <c r="K263" i="1"/>
  <c r="L263" i="1"/>
  <c r="M263" i="1"/>
  <c r="N263" i="1"/>
  <c r="O263" i="1"/>
  <c r="P263" i="1"/>
  <c r="A264" i="1"/>
  <c r="B264" i="1"/>
  <c r="C264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A265" i="1"/>
  <c r="B265" i="1"/>
  <c r="C265" i="1"/>
  <c r="D265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A266" i="1"/>
  <c r="B266" i="1"/>
  <c r="C266" i="1"/>
  <c r="D266" i="1"/>
  <c r="E266" i="1"/>
  <c r="F266" i="1"/>
  <c r="G266" i="1"/>
  <c r="H266" i="1"/>
  <c r="I266" i="1"/>
  <c r="J266" i="1"/>
  <c r="K266" i="1"/>
  <c r="L266" i="1"/>
  <c r="M266" i="1"/>
  <c r="N266" i="1"/>
  <c r="O266" i="1"/>
  <c r="P266" i="1"/>
  <c r="A267" i="1"/>
  <c r="B267" i="1"/>
  <c r="C267" i="1"/>
  <c r="D267" i="1"/>
  <c r="E267" i="1"/>
  <c r="F267" i="1"/>
  <c r="G267" i="1"/>
  <c r="H267" i="1"/>
  <c r="I267" i="1"/>
  <c r="J267" i="1"/>
  <c r="K267" i="1"/>
  <c r="L267" i="1"/>
  <c r="M267" i="1"/>
  <c r="N267" i="1"/>
  <c r="O267" i="1"/>
  <c r="P267" i="1"/>
  <c r="A268" i="1"/>
  <c r="B268" i="1"/>
  <c r="C268" i="1"/>
  <c r="D268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A269" i="1"/>
  <c r="B269" i="1"/>
  <c r="C269" i="1"/>
  <c r="D269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A270" i="1"/>
  <c r="B270" i="1"/>
  <c r="C270" i="1"/>
  <c r="D270" i="1"/>
  <c r="E270" i="1"/>
  <c r="F270" i="1"/>
  <c r="G270" i="1"/>
  <c r="H270" i="1"/>
  <c r="I270" i="1"/>
  <c r="J270" i="1"/>
  <c r="K270" i="1"/>
  <c r="L270" i="1"/>
  <c r="M270" i="1"/>
  <c r="N270" i="1"/>
  <c r="O270" i="1"/>
  <c r="P270" i="1"/>
  <c r="A271" i="1"/>
  <c r="B271" i="1"/>
  <c r="C271" i="1"/>
  <c r="D271" i="1"/>
  <c r="E271" i="1"/>
  <c r="F271" i="1"/>
  <c r="G271" i="1"/>
  <c r="H271" i="1"/>
  <c r="I271" i="1"/>
  <c r="J271" i="1"/>
  <c r="K271" i="1"/>
  <c r="L271" i="1"/>
  <c r="M271" i="1"/>
  <c r="N271" i="1"/>
  <c r="O271" i="1"/>
  <c r="P271" i="1"/>
  <c r="A272" i="1"/>
  <c r="B272" i="1"/>
  <c r="C272" i="1"/>
  <c r="D272" i="1"/>
  <c r="E272" i="1"/>
  <c r="F272" i="1"/>
  <c r="G272" i="1"/>
  <c r="H272" i="1"/>
  <c r="I272" i="1"/>
  <c r="J272" i="1"/>
  <c r="K272" i="1"/>
  <c r="L272" i="1"/>
  <c r="M272" i="1"/>
  <c r="N272" i="1"/>
  <c r="O272" i="1"/>
  <c r="P272" i="1"/>
  <c r="A273" i="1"/>
  <c r="B273" i="1"/>
  <c r="C273" i="1"/>
  <c r="D273" i="1"/>
  <c r="E273" i="1"/>
  <c r="F273" i="1"/>
  <c r="G273" i="1"/>
  <c r="H273" i="1"/>
  <c r="I273" i="1"/>
  <c r="J273" i="1"/>
  <c r="K273" i="1"/>
  <c r="L273" i="1"/>
  <c r="M273" i="1"/>
  <c r="N273" i="1"/>
  <c r="O273" i="1"/>
  <c r="P273" i="1"/>
  <c r="A274" i="1"/>
  <c r="B274" i="1"/>
  <c r="C274" i="1"/>
  <c r="D274" i="1"/>
  <c r="E274" i="1"/>
  <c r="F274" i="1"/>
  <c r="G274" i="1"/>
  <c r="H274" i="1"/>
  <c r="I274" i="1"/>
  <c r="J274" i="1"/>
  <c r="K274" i="1"/>
  <c r="L274" i="1"/>
  <c r="M274" i="1"/>
  <c r="N274" i="1"/>
  <c r="O274" i="1"/>
  <c r="P274" i="1"/>
  <c r="A275" i="1"/>
  <c r="B275" i="1"/>
  <c r="C275" i="1"/>
  <c r="D275" i="1"/>
  <c r="E275" i="1"/>
  <c r="F275" i="1"/>
  <c r="G275" i="1"/>
  <c r="H275" i="1"/>
  <c r="I275" i="1"/>
  <c r="J275" i="1"/>
  <c r="K275" i="1"/>
  <c r="L275" i="1"/>
  <c r="M275" i="1"/>
  <c r="N275" i="1"/>
  <c r="O275" i="1"/>
  <c r="P275" i="1"/>
  <c r="A276" i="1"/>
  <c r="B276" i="1"/>
  <c r="C276" i="1"/>
  <c r="D276" i="1"/>
  <c r="E276" i="1"/>
  <c r="F276" i="1"/>
  <c r="G276" i="1"/>
  <c r="H276" i="1"/>
  <c r="I276" i="1"/>
  <c r="J276" i="1"/>
  <c r="K276" i="1"/>
  <c r="L276" i="1"/>
  <c r="M276" i="1"/>
  <c r="N276" i="1"/>
  <c r="O276" i="1"/>
  <c r="P276" i="1"/>
  <c r="A277" i="1"/>
  <c r="B277" i="1"/>
  <c r="C277" i="1"/>
  <c r="D277" i="1"/>
  <c r="E277" i="1"/>
  <c r="F277" i="1"/>
  <c r="G277" i="1"/>
  <c r="H277" i="1"/>
  <c r="I277" i="1"/>
  <c r="J277" i="1"/>
  <c r="K277" i="1"/>
  <c r="L277" i="1"/>
  <c r="M277" i="1"/>
  <c r="N277" i="1"/>
  <c r="O277" i="1"/>
  <c r="P277" i="1"/>
  <c r="A278" i="1"/>
  <c r="B278" i="1"/>
  <c r="C278" i="1"/>
  <c r="D278" i="1"/>
  <c r="E278" i="1"/>
  <c r="F278" i="1"/>
  <c r="G278" i="1"/>
  <c r="H278" i="1"/>
  <c r="I278" i="1"/>
  <c r="J278" i="1"/>
  <c r="K278" i="1"/>
  <c r="L278" i="1"/>
  <c r="M278" i="1"/>
  <c r="N278" i="1"/>
  <c r="O278" i="1"/>
  <c r="P278" i="1"/>
  <c r="A279" i="1"/>
  <c r="B279" i="1"/>
  <c r="C279" i="1"/>
  <c r="D279" i="1"/>
  <c r="E279" i="1"/>
  <c r="F279" i="1"/>
  <c r="G279" i="1"/>
  <c r="H279" i="1"/>
  <c r="I279" i="1"/>
  <c r="J279" i="1"/>
  <c r="K279" i="1"/>
  <c r="L279" i="1"/>
  <c r="M279" i="1"/>
  <c r="N279" i="1"/>
  <c r="O279" i="1"/>
  <c r="P279" i="1"/>
  <c r="A280" i="1"/>
  <c r="B280" i="1"/>
  <c r="C280" i="1"/>
  <c r="D280" i="1"/>
  <c r="E280" i="1"/>
  <c r="F280" i="1"/>
  <c r="G280" i="1"/>
  <c r="H280" i="1"/>
  <c r="I280" i="1"/>
  <c r="J280" i="1"/>
  <c r="K280" i="1"/>
  <c r="L280" i="1"/>
  <c r="M280" i="1"/>
  <c r="N280" i="1"/>
  <c r="O280" i="1"/>
  <c r="P280" i="1"/>
  <c r="A281" i="1"/>
  <c r="B281" i="1"/>
  <c r="C281" i="1"/>
  <c r="D281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A282" i="1"/>
  <c r="B282" i="1"/>
  <c r="C282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P282" i="1"/>
  <c r="A283" i="1"/>
  <c r="B283" i="1"/>
  <c r="C283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A284" i="1"/>
  <c r="B284" i="1"/>
  <c r="C284" i="1"/>
  <c r="D284" i="1"/>
  <c r="E284" i="1"/>
  <c r="F284" i="1"/>
  <c r="G284" i="1"/>
  <c r="H284" i="1"/>
  <c r="I284" i="1"/>
  <c r="J284" i="1"/>
  <c r="K284" i="1"/>
  <c r="L284" i="1"/>
  <c r="M284" i="1"/>
  <c r="N284" i="1"/>
  <c r="O284" i="1"/>
  <c r="P284" i="1"/>
  <c r="A285" i="1"/>
  <c r="B285" i="1"/>
  <c r="C285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A286" i="1"/>
  <c r="B286" i="1"/>
  <c r="C286" i="1"/>
  <c r="D286" i="1"/>
  <c r="E286" i="1"/>
  <c r="F286" i="1"/>
  <c r="G286" i="1"/>
  <c r="H286" i="1"/>
  <c r="I286" i="1"/>
  <c r="J286" i="1"/>
  <c r="K286" i="1"/>
  <c r="L286" i="1"/>
  <c r="M286" i="1"/>
  <c r="N286" i="1"/>
  <c r="O286" i="1"/>
  <c r="P286" i="1"/>
  <c r="A287" i="1"/>
  <c r="B287" i="1"/>
  <c r="C287" i="1"/>
  <c r="D287" i="1"/>
  <c r="E287" i="1"/>
  <c r="F287" i="1"/>
  <c r="G287" i="1"/>
  <c r="H287" i="1"/>
  <c r="I287" i="1"/>
  <c r="J287" i="1"/>
  <c r="K287" i="1"/>
  <c r="L287" i="1"/>
  <c r="M287" i="1"/>
  <c r="N287" i="1"/>
  <c r="O287" i="1"/>
  <c r="P287" i="1"/>
  <c r="A288" i="1"/>
  <c r="B288" i="1"/>
  <c r="C288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A289" i="1"/>
  <c r="B289" i="1"/>
  <c r="C289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P289" i="1"/>
  <c r="A290" i="1"/>
  <c r="B290" i="1"/>
  <c r="C290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A291" i="1"/>
  <c r="B291" i="1"/>
  <c r="C291" i="1"/>
  <c r="D291" i="1"/>
  <c r="E291" i="1"/>
  <c r="F291" i="1"/>
  <c r="G291" i="1"/>
  <c r="H291" i="1"/>
  <c r="I291" i="1"/>
  <c r="J291" i="1"/>
  <c r="K291" i="1"/>
  <c r="L291" i="1"/>
  <c r="M291" i="1"/>
  <c r="N291" i="1"/>
  <c r="O291" i="1"/>
  <c r="P291" i="1"/>
  <c r="A292" i="1"/>
  <c r="B292" i="1"/>
  <c r="C292" i="1"/>
  <c r="D292" i="1"/>
  <c r="E292" i="1"/>
  <c r="F292" i="1"/>
  <c r="G292" i="1"/>
  <c r="H292" i="1"/>
  <c r="I292" i="1"/>
  <c r="J292" i="1"/>
  <c r="K292" i="1"/>
  <c r="L292" i="1"/>
  <c r="M292" i="1"/>
  <c r="N292" i="1"/>
  <c r="O292" i="1"/>
  <c r="P292" i="1"/>
  <c r="A293" i="1"/>
  <c r="B293" i="1"/>
  <c r="C293" i="1"/>
  <c r="D293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A294" i="1"/>
  <c r="B294" i="1"/>
  <c r="C294" i="1"/>
  <c r="D294" i="1"/>
  <c r="E294" i="1"/>
  <c r="F294" i="1"/>
  <c r="G294" i="1"/>
  <c r="H294" i="1"/>
  <c r="I294" i="1"/>
  <c r="J294" i="1"/>
  <c r="K294" i="1"/>
  <c r="L294" i="1"/>
  <c r="M294" i="1"/>
  <c r="N294" i="1"/>
  <c r="O294" i="1"/>
  <c r="P294" i="1"/>
  <c r="A295" i="1"/>
  <c r="B295" i="1"/>
  <c r="C295" i="1"/>
  <c r="D295" i="1"/>
  <c r="E295" i="1"/>
  <c r="F295" i="1"/>
  <c r="G295" i="1"/>
  <c r="H295" i="1"/>
  <c r="I295" i="1"/>
  <c r="J295" i="1"/>
  <c r="K295" i="1"/>
  <c r="L295" i="1"/>
  <c r="M295" i="1"/>
  <c r="N295" i="1"/>
  <c r="O295" i="1"/>
  <c r="P295" i="1"/>
  <c r="A296" i="1"/>
  <c r="B296" i="1"/>
  <c r="C296" i="1"/>
  <c r="D296" i="1"/>
  <c r="E296" i="1"/>
  <c r="F296" i="1"/>
  <c r="G296" i="1"/>
  <c r="H296" i="1"/>
  <c r="I296" i="1"/>
  <c r="J296" i="1"/>
  <c r="K296" i="1"/>
  <c r="L296" i="1"/>
  <c r="M296" i="1"/>
  <c r="N296" i="1"/>
  <c r="O296" i="1"/>
  <c r="P296" i="1"/>
  <c r="A297" i="1"/>
  <c r="B297" i="1"/>
  <c r="C297" i="1"/>
  <c r="D297" i="1"/>
  <c r="E297" i="1"/>
  <c r="F297" i="1"/>
  <c r="G297" i="1"/>
  <c r="H297" i="1"/>
  <c r="I297" i="1"/>
  <c r="J297" i="1"/>
  <c r="K297" i="1"/>
  <c r="L297" i="1"/>
  <c r="M297" i="1"/>
  <c r="N297" i="1"/>
  <c r="O297" i="1"/>
  <c r="P297" i="1"/>
  <c r="A298" i="1"/>
  <c r="B298" i="1"/>
  <c r="C298" i="1"/>
  <c r="D298" i="1"/>
  <c r="E298" i="1"/>
  <c r="F298" i="1"/>
  <c r="G298" i="1"/>
  <c r="H298" i="1"/>
  <c r="I298" i="1"/>
  <c r="J298" i="1"/>
  <c r="K298" i="1"/>
  <c r="L298" i="1"/>
  <c r="M298" i="1"/>
  <c r="N298" i="1"/>
  <c r="O298" i="1"/>
  <c r="P298" i="1"/>
  <c r="A299" i="1"/>
  <c r="B299" i="1"/>
  <c r="C299" i="1"/>
  <c r="D299" i="1"/>
  <c r="E299" i="1"/>
  <c r="F299" i="1"/>
  <c r="G299" i="1"/>
  <c r="H299" i="1"/>
  <c r="I299" i="1"/>
  <c r="J299" i="1"/>
  <c r="K299" i="1"/>
  <c r="L299" i="1"/>
  <c r="M299" i="1"/>
  <c r="N299" i="1"/>
  <c r="O299" i="1"/>
  <c r="P299" i="1"/>
  <c r="A300" i="1"/>
  <c r="B300" i="1"/>
  <c r="C300" i="1"/>
  <c r="D300" i="1"/>
  <c r="E300" i="1"/>
  <c r="F300" i="1"/>
  <c r="G300" i="1"/>
  <c r="H300" i="1"/>
  <c r="I300" i="1"/>
  <c r="J300" i="1"/>
  <c r="K300" i="1"/>
  <c r="L300" i="1"/>
  <c r="M300" i="1"/>
  <c r="N300" i="1"/>
  <c r="O300" i="1"/>
  <c r="P300" i="1"/>
  <c r="A301" i="1"/>
  <c r="B301" i="1"/>
  <c r="C301" i="1"/>
  <c r="D301" i="1"/>
  <c r="E301" i="1"/>
  <c r="F301" i="1"/>
  <c r="G301" i="1"/>
  <c r="H301" i="1"/>
  <c r="I301" i="1"/>
  <c r="J301" i="1"/>
  <c r="K301" i="1"/>
  <c r="L301" i="1"/>
  <c r="M301" i="1"/>
  <c r="N301" i="1"/>
  <c r="O301" i="1"/>
  <c r="P301" i="1"/>
  <c r="A302" i="1"/>
  <c r="B302" i="1"/>
  <c r="C302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A303" i="1"/>
  <c r="B303" i="1"/>
  <c r="C303" i="1"/>
  <c r="D303" i="1"/>
  <c r="E303" i="1"/>
  <c r="F303" i="1"/>
  <c r="G303" i="1"/>
  <c r="H303" i="1"/>
  <c r="I303" i="1"/>
  <c r="J303" i="1"/>
  <c r="K303" i="1"/>
  <c r="L303" i="1"/>
  <c r="M303" i="1"/>
  <c r="N303" i="1"/>
  <c r="O303" i="1"/>
  <c r="P303" i="1"/>
  <c r="A304" i="1"/>
  <c r="B304" i="1"/>
  <c r="C304" i="1"/>
  <c r="D304" i="1"/>
  <c r="E304" i="1"/>
  <c r="F304" i="1"/>
  <c r="G304" i="1"/>
  <c r="H304" i="1"/>
  <c r="I304" i="1"/>
  <c r="J304" i="1"/>
  <c r="K304" i="1"/>
  <c r="L304" i="1"/>
  <c r="M304" i="1"/>
  <c r="N304" i="1"/>
  <c r="O304" i="1"/>
  <c r="P304" i="1"/>
  <c r="A305" i="1"/>
  <c r="B305" i="1"/>
  <c r="C305" i="1"/>
  <c r="D305" i="1"/>
  <c r="E305" i="1"/>
  <c r="F305" i="1"/>
  <c r="G305" i="1"/>
  <c r="H305" i="1"/>
  <c r="I305" i="1"/>
  <c r="J305" i="1"/>
  <c r="K305" i="1"/>
  <c r="L305" i="1"/>
  <c r="M305" i="1"/>
  <c r="N305" i="1"/>
  <c r="O305" i="1"/>
  <c r="P305" i="1"/>
  <c r="A306" i="1"/>
  <c r="B306" i="1"/>
  <c r="C306" i="1"/>
  <c r="D306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A307" i="1"/>
  <c r="B307" i="1"/>
  <c r="C307" i="1"/>
  <c r="D307" i="1"/>
  <c r="E307" i="1"/>
  <c r="F307" i="1"/>
  <c r="G307" i="1"/>
  <c r="H307" i="1"/>
  <c r="I307" i="1"/>
  <c r="J307" i="1"/>
  <c r="K307" i="1"/>
  <c r="L307" i="1"/>
  <c r="M307" i="1"/>
  <c r="N307" i="1"/>
  <c r="O307" i="1"/>
  <c r="P307" i="1"/>
  <c r="A308" i="1"/>
  <c r="B308" i="1"/>
  <c r="C308" i="1"/>
  <c r="D308" i="1"/>
  <c r="E308" i="1"/>
  <c r="F308" i="1"/>
  <c r="G308" i="1"/>
  <c r="H308" i="1"/>
  <c r="I308" i="1"/>
  <c r="J308" i="1"/>
  <c r="K308" i="1"/>
  <c r="L308" i="1"/>
  <c r="M308" i="1"/>
  <c r="N308" i="1"/>
  <c r="O308" i="1"/>
  <c r="P308" i="1"/>
  <c r="A309" i="1"/>
  <c r="B309" i="1"/>
  <c r="C309" i="1"/>
  <c r="D309" i="1"/>
  <c r="E309" i="1"/>
  <c r="F309" i="1"/>
  <c r="G309" i="1"/>
  <c r="H309" i="1"/>
  <c r="I309" i="1"/>
  <c r="J309" i="1"/>
  <c r="K309" i="1"/>
  <c r="L309" i="1"/>
  <c r="M309" i="1"/>
  <c r="N309" i="1"/>
  <c r="O309" i="1"/>
  <c r="P309" i="1"/>
  <c r="A310" i="1"/>
  <c r="B310" i="1"/>
  <c r="C310" i="1"/>
  <c r="D310" i="1"/>
  <c r="E310" i="1"/>
  <c r="F310" i="1"/>
  <c r="G310" i="1"/>
  <c r="H310" i="1"/>
  <c r="I310" i="1"/>
  <c r="J310" i="1"/>
  <c r="K310" i="1"/>
  <c r="L310" i="1"/>
  <c r="M310" i="1"/>
  <c r="N310" i="1"/>
  <c r="O310" i="1"/>
  <c r="P310" i="1"/>
  <c r="A311" i="1"/>
  <c r="B311" i="1"/>
  <c r="C311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A312" i="1"/>
  <c r="B312" i="1"/>
  <c r="C312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P312" i="1"/>
  <c r="A313" i="1"/>
  <c r="B313" i="1"/>
  <c r="C313" i="1"/>
  <c r="D313" i="1"/>
  <c r="E313" i="1"/>
  <c r="F313" i="1"/>
  <c r="G313" i="1"/>
  <c r="H313" i="1"/>
  <c r="I313" i="1"/>
  <c r="J313" i="1"/>
  <c r="K313" i="1"/>
  <c r="L313" i="1"/>
  <c r="M313" i="1"/>
  <c r="N313" i="1"/>
  <c r="O313" i="1"/>
  <c r="P313" i="1"/>
  <c r="A314" i="1"/>
  <c r="B314" i="1"/>
  <c r="C314" i="1"/>
  <c r="D314" i="1"/>
  <c r="E314" i="1"/>
  <c r="F314" i="1"/>
  <c r="G314" i="1"/>
  <c r="H314" i="1"/>
  <c r="I314" i="1"/>
  <c r="J314" i="1"/>
  <c r="K314" i="1"/>
  <c r="L314" i="1"/>
  <c r="M314" i="1"/>
  <c r="N314" i="1"/>
  <c r="O314" i="1"/>
  <c r="P314" i="1"/>
  <c r="A315" i="1"/>
  <c r="B315" i="1"/>
  <c r="C315" i="1"/>
  <c r="D315" i="1"/>
  <c r="E315" i="1"/>
  <c r="F315" i="1"/>
  <c r="G315" i="1"/>
  <c r="H315" i="1"/>
  <c r="I315" i="1"/>
  <c r="J315" i="1"/>
  <c r="K315" i="1"/>
  <c r="L315" i="1"/>
  <c r="M315" i="1"/>
  <c r="N315" i="1"/>
  <c r="O315" i="1"/>
  <c r="P315" i="1"/>
  <c r="A316" i="1"/>
  <c r="B316" i="1"/>
  <c r="C316" i="1"/>
  <c r="D316" i="1"/>
  <c r="E316" i="1"/>
  <c r="F316" i="1"/>
  <c r="G316" i="1"/>
  <c r="H316" i="1"/>
  <c r="I316" i="1"/>
  <c r="J316" i="1"/>
  <c r="K316" i="1"/>
  <c r="L316" i="1"/>
  <c r="M316" i="1"/>
  <c r="N316" i="1"/>
  <c r="O316" i="1"/>
  <c r="P316" i="1"/>
  <c r="A317" i="1"/>
  <c r="B317" i="1"/>
  <c r="C317" i="1"/>
  <c r="D317" i="1"/>
  <c r="E317" i="1"/>
  <c r="F317" i="1"/>
  <c r="G317" i="1"/>
  <c r="H317" i="1"/>
  <c r="I317" i="1"/>
  <c r="J317" i="1"/>
  <c r="K317" i="1"/>
  <c r="L317" i="1"/>
  <c r="M317" i="1"/>
  <c r="N317" i="1"/>
  <c r="O317" i="1"/>
  <c r="P317" i="1"/>
  <c r="A318" i="1"/>
  <c r="B318" i="1"/>
  <c r="C318" i="1"/>
  <c r="D318" i="1"/>
  <c r="E318" i="1"/>
  <c r="F318" i="1"/>
  <c r="G318" i="1"/>
  <c r="H318" i="1"/>
  <c r="I318" i="1"/>
  <c r="J318" i="1"/>
  <c r="K318" i="1"/>
  <c r="L318" i="1"/>
  <c r="M318" i="1"/>
  <c r="N318" i="1"/>
  <c r="O318" i="1"/>
  <c r="P318" i="1"/>
  <c r="A319" i="1"/>
  <c r="B319" i="1"/>
  <c r="C319" i="1"/>
  <c r="D319" i="1"/>
  <c r="E319" i="1"/>
  <c r="F319" i="1"/>
  <c r="G319" i="1"/>
  <c r="H319" i="1"/>
  <c r="I319" i="1"/>
  <c r="J319" i="1"/>
  <c r="K319" i="1"/>
  <c r="L319" i="1"/>
  <c r="M319" i="1"/>
  <c r="N319" i="1"/>
  <c r="O319" i="1"/>
  <c r="P319" i="1"/>
  <c r="A320" i="1"/>
  <c r="B320" i="1"/>
  <c r="C320" i="1"/>
  <c r="D320" i="1"/>
  <c r="E320" i="1"/>
  <c r="F320" i="1"/>
  <c r="G320" i="1"/>
  <c r="H320" i="1"/>
  <c r="I320" i="1"/>
  <c r="J320" i="1"/>
  <c r="K320" i="1"/>
  <c r="L320" i="1"/>
  <c r="M320" i="1"/>
  <c r="N320" i="1"/>
  <c r="O320" i="1"/>
  <c r="P320" i="1"/>
  <c r="A321" i="1"/>
  <c r="B321" i="1"/>
  <c r="C321" i="1"/>
  <c r="D321" i="1"/>
  <c r="E321" i="1"/>
  <c r="F321" i="1"/>
  <c r="G321" i="1"/>
  <c r="H321" i="1"/>
  <c r="I321" i="1"/>
  <c r="J321" i="1"/>
  <c r="K321" i="1"/>
  <c r="L321" i="1"/>
  <c r="M321" i="1"/>
  <c r="N321" i="1"/>
  <c r="O321" i="1"/>
  <c r="P321" i="1"/>
  <c r="A322" i="1"/>
  <c r="B322" i="1"/>
  <c r="C322" i="1"/>
  <c r="D322" i="1"/>
  <c r="E322" i="1"/>
  <c r="F322" i="1"/>
  <c r="G322" i="1"/>
  <c r="H322" i="1"/>
  <c r="I322" i="1"/>
  <c r="J322" i="1"/>
  <c r="K322" i="1"/>
  <c r="L322" i="1"/>
  <c r="M322" i="1"/>
  <c r="N322" i="1"/>
  <c r="O322" i="1"/>
  <c r="P322" i="1"/>
  <c r="A323" i="1"/>
  <c r="B323" i="1"/>
  <c r="C323" i="1"/>
  <c r="D323" i="1"/>
  <c r="E323" i="1"/>
  <c r="F323" i="1"/>
  <c r="G323" i="1"/>
  <c r="H323" i="1"/>
  <c r="I323" i="1"/>
  <c r="J323" i="1"/>
  <c r="K323" i="1"/>
  <c r="L323" i="1"/>
  <c r="M323" i="1"/>
  <c r="N323" i="1"/>
  <c r="O323" i="1"/>
  <c r="P323" i="1"/>
  <c r="A324" i="1"/>
  <c r="B324" i="1"/>
  <c r="C324" i="1"/>
  <c r="D324" i="1"/>
  <c r="E324" i="1"/>
  <c r="F324" i="1"/>
  <c r="G324" i="1"/>
  <c r="H324" i="1"/>
  <c r="I324" i="1"/>
  <c r="J324" i="1"/>
  <c r="K324" i="1"/>
  <c r="L324" i="1"/>
  <c r="M324" i="1"/>
  <c r="N324" i="1"/>
  <c r="O324" i="1"/>
  <c r="P324" i="1"/>
  <c r="A325" i="1"/>
  <c r="B325" i="1"/>
  <c r="C325" i="1"/>
  <c r="D325" i="1"/>
  <c r="E325" i="1"/>
  <c r="F325" i="1"/>
  <c r="G325" i="1"/>
  <c r="H325" i="1"/>
  <c r="I325" i="1"/>
  <c r="J325" i="1"/>
  <c r="K325" i="1"/>
  <c r="L325" i="1"/>
  <c r="M325" i="1"/>
  <c r="N325" i="1"/>
  <c r="O325" i="1"/>
  <c r="P325" i="1"/>
  <c r="A326" i="1"/>
  <c r="B326" i="1"/>
  <c r="C326" i="1"/>
  <c r="D326" i="1"/>
  <c r="E326" i="1"/>
  <c r="F326" i="1"/>
  <c r="G326" i="1"/>
  <c r="H326" i="1"/>
  <c r="I326" i="1"/>
  <c r="J326" i="1"/>
  <c r="K326" i="1"/>
  <c r="L326" i="1"/>
  <c r="M326" i="1"/>
  <c r="N326" i="1"/>
  <c r="O326" i="1"/>
  <c r="P326" i="1"/>
  <c r="A327" i="1"/>
  <c r="B327" i="1"/>
  <c r="C327" i="1"/>
  <c r="D327" i="1"/>
  <c r="E327" i="1"/>
  <c r="F327" i="1"/>
  <c r="G327" i="1"/>
  <c r="H327" i="1"/>
  <c r="I327" i="1"/>
  <c r="J327" i="1"/>
  <c r="K327" i="1"/>
  <c r="L327" i="1"/>
  <c r="M327" i="1"/>
  <c r="N327" i="1"/>
  <c r="O327" i="1"/>
  <c r="P327" i="1"/>
  <c r="A328" i="1"/>
  <c r="B328" i="1"/>
  <c r="C328" i="1"/>
  <c r="D328" i="1"/>
  <c r="E328" i="1"/>
  <c r="F328" i="1"/>
  <c r="G328" i="1"/>
  <c r="H328" i="1"/>
  <c r="I328" i="1"/>
  <c r="J328" i="1"/>
  <c r="K328" i="1"/>
  <c r="L328" i="1"/>
  <c r="M328" i="1"/>
  <c r="N328" i="1"/>
  <c r="O328" i="1"/>
  <c r="P328" i="1"/>
  <c r="A329" i="1"/>
  <c r="B329" i="1"/>
  <c r="C329" i="1"/>
  <c r="D329" i="1"/>
  <c r="E329" i="1"/>
  <c r="F329" i="1"/>
  <c r="G329" i="1"/>
  <c r="H329" i="1"/>
  <c r="I329" i="1"/>
  <c r="J329" i="1"/>
  <c r="K329" i="1"/>
  <c r="L329" i="1"/>
  <c r="M329" i="1"/>
  <c r="N329" i="1"/>
  <c r="O329" i="1"/>
  <c r="P329" i="1"/>
  <c r="A330" i="1"/>
  <c r="B330" i="1"/>
  <c r="C330" i="1"/>
  <c r="D330" i="1"/>
  <c r="E330" i="1"/>
  <c r="F330" i="1"/>
  <c r="G330" i="1"/>
  <c r="H330" i="1"/>
  <c r="I330" i="1"/>
  <c r="J330" i="1"/>
  <c r="K330" i="1"/>
  <c r="L330" i="1"/>
  <c r="M330" i="1"/>
  <c r="N330" i="1"/>
  <c r="O330" i="1"/>
  <c r="P330" i="1"/>
  <c r="A331" i="1"/>
  <c r="B331" i="1"/>
  <c r="C331" i="1"/>
  <c r="D331" i="1"/>
  <c r="E331" i="1"/>
  <c r="F331" i="1"/>
  <c r="G331" i="1"/>
  <c r="H331" i="1"/>
  <c r="I331" i="1"/>
  <c r="J331" i="1"/>
  <c r="K331" i="1"/>
  <c r="L331" i="1"/>
  <c r="M331" i="1"/>
  <c r="N331" i="1"/>
  <c r="O331" i="1"/>
  <c r="P331" i="1"/>
  <c r="A332" i="1"/>
  <c r="B332" i="1"/>
  <c r="C332" i="1"/>
  <c r="D332" i="1"/>
  <c r="E332" i="1"/>
  <c r="F332" i="1"/>
  <c r="G332" i="1"/>
  <c r="H332" i="1"/>
  <c r="I332" i="1"/>
  <c r="J332" i="1"/>
  <c r="K332" i="1"/>
  <c r="L332" i="1"/>
  <c r="M332" i="1"/>
  <c r="N332" i="1"/>
  <c r="O332" i="1"/>
  <c r="P332" i="1"/>
  <c r="A333" i="1"/>
  <c r="B333" i="1"/>
  <c r="C333" i="1"/>
  <c r="D333" i="1"/>
  <c r="E333" i="1"/>
  <c r="F333" i="1"/>
  <c r="G333" i="1"/>
  <c r="H333" i="1"/>
  <c r="I333" i="1"/>
  <c r="J333" i="1"/>
  <c r="K333" i="1"/>
  <c r="L333" i="1"/>
  <c r="M333" i="1"/>
  <c r="N333" i="1"/>
  <c r="O333" i="1"/>
  <c r="P333" i="1"/>
  <c r="A334" i="1"/>
  <c r="B334" i="1"/>
  <c r="C334" i="1"/>
  <c r="D334" i="1"/>
  <c r="E334" i="1"/>
  <c r="F334" i="1"/>
  <c r="G334" i="1"/>
  <c r="H334" i="1"/>
  <c r="I334" i="1"/>
  <c r="J334" i="1"/>
  <c r="K334" i="1"/>
  <c r="L334" i="1"/>
  <c r="M334" i="1"/>
  <c r="N334" i="1"/>
  <c r="O334" i="1"/>
  <c r="P334" i="1"/>
  <c r="A335" i="1"/>
  <c r="B335" i="1"/>
  <c r="C335" i="1"/>
  <c r="D335" i="1"/>
  <c r="E335" i="1"/>
  <c r="F335" i="1"/>
  <c r="G335" i="1"/>
  <c r="H335" i="1"/>
  <c r="I335" i="1"/>
  <c r="J335" i="1"/>
  <c r="K335" i="1"/>
  <c r="L335" i="1"/>
  <c r="M335" i="1"/>
  <c r="N335" i="1"/>
  <c r="O335" i="1"/>
  <c r="P335" i="1"/>
  <c r="A336" i="1"/>
  <c r="B336" i="1"/>
  <c r="C336" i="1"/>
  <c r="D336" i="1"/>
  <c r="E336" i="1"/>
  <c r="F336" i="1"/>
  <c r="G336" i="1"/>
  <c r="H336" i="1"/>
  <c r="I336" i="1"/>
  <c r="J336" i="1"/>
  <c r="K336" i="1"/>
  <c r="L336" i="1"/>
  <c r="M336" i="1"/>
  <c r="N336" i="1"/>
  <c r="O336" i="1"/>
  <c r="P336" i="1"/>
  <c r="A337" i="1"/>
  <c r="B337" i="1"/>
  <c r="C337" i="1"/>
  <c r="D337" i="1"/>
  <c r="E337" i="1"/>
  <c r="F337" i="1"/>
  <c r="G337" i="1"/>
  <c r="H337" i="1"/>
  <c r="I337" i="1"/>
  <c r="J337" i="1"/>
  <c r="K337" i="1"/>
  <c r="L337" i="1"/>
  <c r="M337" i="1"/>
  <c r="N337" i="1"/>
  <c r="O337" i="1"/>
  <c r="P337" i="1"/>
  <c r="A338" i="1"/>
  <c r="B338" i="1"/>
  <c r="C338" i="1"/>
  <c r="D338" i="1"/>
  <c r="E338" i="1"/>
  <c r="F338" i="1"/>
  <c r="G338" i="1"/>
  <c r="H338" i="1"/>
  <c r="I338" i="1"/>
  <c r="J338" i="1"/>
  <c r="K338" i="1"/>
  <c r="L338" i="1"/>
  <c r="M338" i="1"/>
  <c r="N338" i="1"/>
  <c r="O338" i="1"/>
  <c r="P338" i="1"/>
  <c r="A339" i="1"/>
  <c r="B339" i="1"/>
  <c r="C339" i="1"/>
  <c r="D339" i="1"/>
  <c r="E339" i="1"/>
  <c r="F339" i="1"/>
  <c r="G339" i="1"/>
  <c r="H339" i="1"/>
  <c r="I339" i="1"/>
  <c r="J339" i="1"/>
  <c r="K339" i="1"/>
  <c r="L339" i="1"/>
  <c r="M339" i="1"/>
  <c r="N339" i="1"/>
  <c r="O339" i="1"/>
  <c r="P339" i="1"/>
  <c r="A340" i="1"/>
  <c r="B340" i="1"/>
  <c r="C340" i="1"/>
  <c r="D340" i="1"/>
  <c r="E340" i="1"/>
  <c r="F340" i="1"/>
  <c r="G340" i="1"/>
  <c r="H340" i="1"/>
  <c r="I340" i="1"/>
  <c r="J340" i="1"/>
  <c r="K340" i="1"/>
  <c r="L340" i="1"/>
  <c r="M340" i="1"/>
  <c r="N340" i="1"/>
  <c r="O340" i="1"/>
  <c r="P340" i="1"/>
  <c r="A341" i="1"/>
  <c r="B341" i="1"/>
  <c r="C341" i="1"/>
  <c r="D341" i="1"/>
  <c r="E341" i="1"/>
  <c r="F341" i="1"/>
  <c r="G341" i="1"/>
  <c r="H341" i="1"/>
  <c r="I341" i="1"/>
  <c r="J341" i="1"/>
  <c r="K341" i="1"/>
  <c r="L341" i="1"/>
  <c r="M341" i="1"/>
  <c r="N341" i="1"/>
  <c r="O341" i="1"/>
  <c r="P341" i="1"/>
  <c r="A342" i="1"/>
  <c r="B342" i="1"/>
  <c r="C342" i="1"/>
  <c r="D342" i="1"/>
  <c r="E342" i="1"/>
  <c r="F342" i="1"/>
  <c r="G342" i="1"/>
  <c r="H342" i="1"/>
  <c r="I342" i="1"/>
  <c r="J342" i="1"/>
  <c r="K342" i="1"/>
  <c r="L342" i="1"/>
  <c r="M342" i="1"/>
  <c r="N342" i="1"/>
  <c r="O342" i="1"/>
  <c r="P342" i="1"/>
  <c r="A343" i="1"/>
  <c r="B343" i="1"/>
  <c r="C343" i="1"/>
  <c r="D343" i="1"/>
  <c r="E343" i="1"/>
  <c r="F343" i="1"/>
  <c r="G343" i="1"/>
  <c r="H343" i="1"/>
  <c r="I343" i="1"/>
  <c r="J343" i="1"/>
  <c r="K343" i="1"/>
  <c r="L343" i="1"/>
  <c r="M343" i="1"/>
  <c r="N343" i="1"/>
  <c r="O343" i="1"/>
  <c r="P343" i="1"/>
  <c r="A344" i="1"/>
  <c r="B344" i="1"/>
  <c r="C344" i="1"/>
  <c r="D344" i="1"/>
  <c r="E344" i="1"/>
  <c r="F344" i="1"/>
  <c r="G344" i="1"/>
  <c r="H344" i="1"/>
  <c r="I344" i="1"/>
  <c r="J344" i="1"/>
  <c r="K344" i="1"/>
  <c r="L344" i="1"/>
  <c r="M344" i="1"/>
  <c r="N344" i="1"/>
  <c r="O344" i="1"/>
  <c r="P344" i="1"/>
  <c r="A345" i="1"/>
  <c r="B345" i="1"/>
  <c r="C345" i="1"/>
  <c r="D345" i="1"/>
  <c r="E345" i="1"/>
  <c r="F345" i="1"/>
  <c r="G345" i="1"/>
  <c r="H345" i="1"/>
  <c r="I345" i="1"/>
  <c r="J345" i="1"/>
  <c r="K345" i="1"/>
  <c r="L345" i="1"/>
  <c r="M345" i="1"/>
  <c r="N345" i="1"/>
  <c r="O345" i="1"/>
  <c r="P345" i="1"/>
  <c r="A346" i="1"/>
  <c r="B346" i="1"/>
  <c r="C346" i="1"/>
  <c r="D346" i="1"/>
  <c r="E346" i="1"/>
  <c r="F346" i="1"/>
  <c r="G346" i="1"/>
  <c r="H346" i="1"/>
  <c r="I346" i="1"/>
  <c r="J346" i="1"/>
  <c r="K346" i="1"/>
  <c r="L346" i="1"/>
  <c r="M346" i="1"/>
  <c r="N346" i="1"/>
  <c r="O346" i="1"/>
  <c r="P346" i="1"/>
  <c r="A347" i="1"/>
  <c r="B347" i="1"/>
  <c r="C347" i="1"/>
  <c r="D347" i="1"/>
  <c r="E347" i="1"/>
  <c r="F347" i="1"/>
  <c r="G347" i="1"/>
  <c r="H347" i="1"/>
  <c r="I347" i="1"/>
  <c r="J347" i="1"/>
  <c r="K347" i="1"/>
  <c r="L347" i="1"/>
  <c r="M347" i="1"/>
  <c r="N347" i="1"/>
  <c r="O347" i="1"/>
  <c r="P347" i="1"/>
  <c r="A348" i="1"/>
  <c r="B348" i="1"/>
  <c r="C348" i="1"/>
  <c r="D348" i="1"/>
  <c r="E348" i="1"/>
  <c r="F348" i="1"/>
  <c r="G348" i="1"/>
  <c r="H348" i="1"/>
  <c r="I348" i="1"/>
  <c r="J348" i="1"/>
  <c r="K348" i="1"/>
  <c r="L348" i="1"/>
  <c r="M348" i="1"/>
  <c r="N348" i="1"/>
  <c r="O348" i="1"/>
  <c r="P348" i="1"/>
  <c r="A349" i="1"/>
  <c r="B349" i="1"/>
  <c r="C349" i="1"/>
  <c r="D349" i="1"/>
  <c r="E349" i="1"/>
  <c r="F349" i="1"/>
  <c r="G349" i="1"/>
  <c r="H349" i="1"/>
  <c r="I349" i="1"/>
  <c r="J349" i="1"/>
  <c r="K349" i="1"/>
  <c r="L349" i="1"/>
  <c r="M349" i="1"/>
  <c r="N349" i="1"/>
  <c r="O349" i="1"/>
  <c r="P349" i="1"/>
  <c r="A350" i="1"/>
  <c r="B350" i="1"/>
  <c r="C350" i="1"/>
  <c r="D350" i="1"/>
  <c r="E350" i="1"/>
  <c r="F350" i="1"/>
  <c r="G350" i="1"/>
  <c r="H350" i="1"/>
  <c r="I350" i="1"/>
  <c r="J350" i="1"/>
  <c r="K350" i="1"/>
  <c r="L350" i="1"/>
  <c r="M350" i="1"/>
  <c r="N350" i="1"/>
  <c r="O350" i="1"/>
  <c r="P350" i="1"/>
  <c r="A351" i="1"/>
  <c r="B351" i="1"/>
  <c r="C351" i="1"/>
  <c r="D351" i="1"/>
  <c r="E351" i="1"/>
  <c r="F351" i="1"/>
  <c r="G351" i="1"/>
  <c r="H351" i="1"/>
  <c r="I351" i="1"/>
  <c r="J351" i="1"/>
  <c r="K351" i="1"/>
  <c r="L351" i="1"/>
  <c r="M351" i="1"/>
  <c r="N351" i="1"/>
  <c r="O351" i="1"/>
  <c r="P351" i="1"/>
  <c r="A352" i="1"/>
  <c r="B352" i="1"/>
  <c r="C352" i="1"/>
  <c r="D352" i="1"/>
  <c r="E352" i="1"/>
  <c r="F352" i="1"/>
  <c r="G352" i="1"/>
  <c r="H352" i="1"/>
  <c r="I352" i="1"/>
  <c r="J352" i="1"/>
  <c r="K352" i="1"/>
  <c r="L352" i="1"/>
  <c r="M352" i="1"/>
  <c r="N352" i="1"/>
  <c r="O352" i="1"/>
  <c r="P352" i="1"/>
  <c r="A353" i="1"/>
  <c r="B353" i="1"/>
  <c r="C353" i="1"/>
  <c r="D353" i="1"/>
  <c r="E353" i="1"/>
  <c r="F353" i="1"/>
  <c r="G353" i="1"/>
  <c r="H353" i="1"/>
  <c r="I353" i="1"/>
  <c r="J353" i="1"/>
  <c r="K353" i="1"/>
  <c r="L353" i="1"/>
  <c r="M353" i="1"/>
  <c r="N353" i="1"/>
  <c r="O353" i="1"/>
  <c r="P353" i="1"/>
  <c r="A354" i="1"/>
  <c r="B354" i="1"/>
  <c r="C354" i="1"/>
  <c r="D354" i="1"/>
  <c r="E354" i="1"/>
  <c r="F354" i="1"/>
  <c r="G354" i="1"/>
  <c r="H354" i="1"/>
  <c r="I354" i="1"/>
  <c r="J354" i="1"/>
  <c r="K354" i="1"/>
  <c r="L354" i="1"/>
  <c r="M354" i="1"/>
  <c r="N354" i="1"/>
  <c r="O354" i="1"/>
  <c r="P354" i="1"/>
  <c r="A355" i="1"/>
  <c r="B355" i="1"/>
  <c r="C355" i="1"/>
  <c r="D355" i="1"/>
  <c r="E355" i="1"/>
  <c r="F355" i="1"/>
  <c r="G355" i="1"/>
  <c r="H355" i="1"/>
  <c r="I355" i="1"/>
  <c r="J355" i="1"/>
  <c r="K355" i="1"/>
  <c r="L355" i="1"/>
  <c r="M355" i="1"/>
  <c r="N355" i="1"/>
  <c r="O355" i="1"/>
  <c r="P355" i="1"/>
  <c r="A356" i="1"/>
  <c r="B356" i="1"/>
  <c r="C356" i="1"/>
  <c r="D356" i="1"/>
  <c r="E356" i="1"/>
  <c r="F356" i="1"/>
  <c r="G356" i="1"/>
  <c r="H356" i="1"/>
  <c r="I356" i="1"/>
  <c r="J356" i="1"/>
  <c r="K356" i="1"/>
  <c r="L356" i="1"/>
  <c r="M356" i="1"/>
  <c r="N356" i="1"/>
  <c r="O356" i="1"/>
  <c r="P356" i="1"/>
  <c r="A357" i="1"/>
  <c r="B357" i="1"/>
  <c r="C357" i="1"/>
  <c r="D357" i="1"/>
  <c r="E357" i="1"/>
  <c r="F357" i="1"/>
  <c r="G357" i="1"/>
  <c r="H357" i="1"/>
  <c r="I357" i="1"/>
  <c r="J357" i="1"/>
  <c r="K357" i="1"/>
  <c r="L357" i="1"/>
  <c r="M357" i="1"/>
  <c r="N357" i="1"/>
  <c r="O357" i="1"/>
  <c r="P357" i="1"/>
  <c r="A358" i="1"/>
  <c r="B358" i="1"/>
  <c r="C358" i="1"/>
  <c r="D358" i="1"/>
  <c r="E358" i="1"/>
  <c r="F358" i="1"/>
  <c r="G358" i="1"/>
  <c r="H358" i="1"/>
  <c r="I358" i="1"/>
  <c r="J358" i="1"/>
  <c r="K358" i="1"/>
  <c r="L358" i="1"/>
  <c r="M358" i="1"/>
  <c r="N358" i="1"/>
  <c r="O358" i="1"/>
  <c r="P358" i="1"/>
  <c r="A359" i="1"/>
  <c r="B359" i="1"/>
  <c r="C359" i="1"/>
  <c r="D359" i="1"/>
  <c r="E359" i="1"/>
  <c r="F359" i="1"/>
  <c r="G359" i="1"/>
  <c r="H359" i="1"/>
  <c r="I359" i="1"/>
  <c r="J359" i="1"/>
  <c r="K359" i="1"/>
  <c r="L359" i="1"/>
  <c r="M359" i="1"/>
  <c r="N359" i="1"/>
  <c r="O359" i="1"/>
  <c r="P359" i="1"/>
  <c r="A360" i="1"/>
  <c r="B360" i="1"/>
  <c r="C360" i="1"/>
  <c r="D360" i="1"/>
  <c r="E360" i="1"/>
  <c r="F360" i="1"/>
  <c r="G360" i="1"/>
  <c r="H360" i="1"/>
  <c r="I360" i="1"/>
  <c r="J360" i="1"/>
  <c r="K360" i="1"/>
  <c r="L360" i="1"/>
  <c r="M360" i="1"/>
  <c r="N360" i="1"/>
  <c r="O360" i="1"/>
  <c r="P360" i="1"/>
  <c r="A361" i="1"/>
  <c r="B361" i="1"/>
  <c r="C361" i="1"/>
  <c r="D361" i="1"/>
  <c r="E361" i="1"/>
  <c r="F361" i="1"/>
  <c r="G361" i="1"/>
  <c r="H361" i="1"/>
  <c r="I361" i="1"/>
  <c r="J361" i="1"/>
  <c r="K361" i="1"/>
  <c r="L361" i="1"/>
  <c r="M361" i="1"/>
  <c r="N361" i="1"/>
  <c r="O361" i="1"/>
  <c r="P361" i="1"/>
  <c r="A362" i="1"/>
  <c r="B362" i="1"/>
  <c r="C362" i="1"/>
  <c r="D362" i="1"/>
  <c r="E362" i="1"/>
  <c r="F362" i="1"/>
  <c r="G362" i="1"/>
  <c r="H362" i="1"/>
  <c r="I362" i="1"/>
  <c r="J362" i="1"/>
  <c r="K362" i="1"/>
  <c r="L362" i="1"/>
  <c r="M362" i="1"/>
  <c r="N362" i="1"/>
  <c r="O362" i="1"/>
  <c r="P362" i="1"/>
  <c r="A363" i="1"/>
  <c r="B363" i="1"/>
  <c r="C363" i="1"/>
  <c r="D363" i="1"/>
  <c r="E363" i="1"/>
  <c r="F363" i="1"/>
  <c r="G363" i="1"/>
  <c r="H363" i="1"/>
  <c r="I363" i="1"/>
  <c r="J363" i="1"/>
  <c r="K363" i="1"/>
  <c r="L363" i="1"/>
  <c r="M363" i="1"/>
  <c r="N363" i="1"/>
  <c r="O363" i="1"/>
  <c r="P363" i="1"/>
  <c r="A364" i="1"/>
  <c r="B364" i="1"/>
  <c r="C364" i="1"/>
  <c r="D364" i="1"/>
  <c r="E364" i="1"/>
  <c r="F364" i="1"/>
  <c r="G364" i="1"/>
  <c r="H364" i="1"/>
  <c r="I364" i="1"/>
  <c r="J364" i="1"/>
  <c r="K364" i="1"/>
  <c r="L364" i="1"/>
  <c r="M364" i="1"/>
  <c r="N364" i="1"/>
  <c r="O364" i="1"/>
  <c r="P364" i="1"/>
  <c r="A365" i="1"/>
  <c r="B365" i="1"/>
  <c r="C365" i="1"/>
  <c r="D365" i="1"/>
  <c r="E365" i="1"/>
  <c r="F365" i="1"/>
  <c r="G365" i="1"/>
  <c r="H365" i="1"/>
  <c r="I365" i="1"/>
  <c r="J365" i="1"/>
  <c r="K365" i="1"/>
  <c r="L365" i="1"/>
  <c r="M365" i="1"/>
  <c r="N365" i="1"/>
  <c r="O365" i="1"/>
  <c r="P365" i="1"/>
  <c r="A366" i="1"/>
  <c r="B366" i="1"/>
  <c r="C366" i="1"/>
  <c r="D366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A367" i="1"/>
  <c r="B367" i="1"/>
  <c r="C367" i="1"/>
  <c r="D367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A368" i="1"/>
  <c r="B368" i="1"/>
  <c r="C368" i="1"/>
  <c r="D368" i="1"/>
  <c r="E368" i="1"/>
  <c r="F368" i="1"/>
  <c r="G368" i="1"/>
  <c r="H368" i="1"/>
  <c r="I368" i="1"/>
  <c r="J368" i="1"/>
  <c r="K368" i="1"/>
  <c r="L368" i="1"/>
  <c r="M368" i="1"/>
  <c r="N368" i="1"/>
  <c r="O368" i="1"/>
  <c r="P368" i="1"/>
  <c r="A369" i="1"/>
  <c r="B369" i="1"/>
  <c r="C369" i="1"/>
  <c r="D369" i="1"/>
  <c r="E369" i="1"/>
  <c r="F369" i="1"/>
  <c r="G369" i="1"/>
  <c r="H369" i="1"/>
  <c r="I369" i="1"/>
  <c r="J369" i="1"/>
  <c r="K369" i="1"/>
  <c r="L369" i="1"/>
  <c r="M369" i="1"/>
  <c r="N369" i="1"/>
  <c r="O369" i="1"/>
  <c r="P369" i="1"/>
  <c r="A370" i="1"/>
  <c r="B370" i="1"/>
  <c r="C370" i="1"/>
  <c r="D370" i="1"/>
  <c r="E370" i="1"/>
  <c r="F370" i="1"/>
  <c r="G370" i="1"/>
  <c r="H370" i="1"/>
  <c r="I370" i="1"/>
  <c r="J370" i="1"/>
  <c r="K370" i="1"/>
  <c r="L370" i="1"/>
  <c r="M370" i="1"/>
  <c r="N370" i="1"/>
  <c r="O370" i="1"/>
  <c r="P370" i="1"/>
  <c r="A371" i="1"/>
  <c r="B371" i="1"/>
  <c r="C371" i="1"/>
  <c r="D371" i="1"/>
  <c r="E371" i="1"/>
  <c r="F371" i="1"/>
  <c r="G371" i="1"/>
  <c r="H371" i="1"/>
  <c r="I371" i="1"/>
  <c r="J371" i="1"/>
  <c r="K371" i="1"/>
  <c r="L371" i="1"/>
  <c r="M371" i="1"/>
  <c r="N371" i="1"/>
  <c r="O371" i="1"/>
  <c r="P371" i="1"/>
  <c r="A372" i="1"/>
  <c r="B372" i="1"/>
  <c r="C372" i="1"/>
  <c r="D372" i="1"/>
  <c r="E372" i="1"/>
  <c r="F372" i="1"/>
  <c r="G372" i="1"/>
  <c r="H372" i="1"/>
  <c r="I372" i="1"/>
  <c r="J372" i="1"/>
  <c r="K372" i="1"/>
  <c r="L372" i="1"/>
  <c r="M372" i="1"/>
  <c r="N372" i="1"/>
  <c r="O372" i="1"/>
  <c r="P372" i="1"/>
  <c r="A373" i="1"/>
  <c r="B373" i="1"/>
  <c r="C373" i="1"/>
  <c r="D373" i="1"/>
  <c r="E373" i="1"/>
  <c r="F373" i="1"/>
  <c r="G373" i="1"/>
  <c r="H373" i="1"/>
  <c r="I373" i="1"/>
  <c r="J373" i="1"/>
  <c r="K373" i="1"/>
  <c r="L373" i="1"/>
  <c r="M373" i="1"/>
  <c r="N373" i="1"/>
  <c r="O373" i="1"/>
  <c r="P373" i="1"/>
  <c r="A374" i="1"/>
  <c r="B374" i="1"/>
  <c r="C374" i="1"/>
  <c r="D374" i="1"/>
  <c r="E374" i="1"/>
  <c r="F374" i="1"/>
  <c r="G374" i="1"/>
  <c r="H374" i="1"/>
  <c r="I374" i="1"/>
  <c r="J374" i="1"/>
  <c r="K374" i="1"/>
  <c r="L374" i="1"/>
  <c r="M374" i="1"/>
  <c r="N374" i="1"/>
  <c r="O374" i="1"/>
  <c r="P374" i="1"/>
  <c r="A375" i="1"/>
  <c r="B375" i="1"/>
  <c r="C375" i="1"/>
  <c r="D375" i="1"/>
  <c r="E375" i="1"/>
  <c r="F375" i="1"/>
  <c r="G375" i="1"/>
  <c r="H375" i="1"/>
  <c r="I375" i="1"/>
  <c r="J375" i="1"/>
  <c r="K375" i="1"/>
  <c r="L375" i="1"/>
  <c r="M375" i="1"/>
  <c r="N375" i="1"/>
  <c r="O375" i="1"/>
  <c r="P375" i="1"/>
  <c r="A376" i="1"/>
  <c r="B376" i="1"/>
  <c r="C376" i="1"/>
  <c r="D376" i="1"/>
  <c r="E376" i="1"/>
  <c r="F376" i="1"/>
  <c r="G376" i="1"/>
  <c r="H376" i="1"/>
  <c r="I376" i="1"/>
  <c r="J376" i="1"/>
  <c r="K376" i="1"/>
  <c r="L376" i="1"/>
  <c r="M376" i="1"/>
  <c r="N376" i="1"/>
  <c r="O376" i="1"/>
  <c r="P376" i="1"/>
  <c r="A377" i="1"/>
  <c r="B377" i="1"/>
  <c r="C377" i="1"/>
  <c r="D377" i="1"/>
  <c r="E377" i="1"/>
  <c r="F377" i="1"/>
  <c r="G377" i="1"/>
  <c r="H377" i="1"/>
  <c r="I377" i="1"/>
  <c r="J377" i="1"/>
  <c r="K377" i="1"/>
  <c r="L377" i="1"/>
  <c r="M377" i="1"/>
  <c r="N377" i="1"/>
  <c r="O377" i="1"/>
  <c r="P377" i="1"/>
  <c r="A378" i="1"/>
  <c r="B378" i="1"/>
  <c r="C378" i="1"/>
  <c r="D378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A379" i="1"/>
  <c r="B379" i="1"/>
  <c r="C379" i="1"/>
  <c r="D379" i="1"/>
  <c r="E379" i="1"/>
  <c r="F379" i="1"/>
  <c r="G379" i="1"/>
  <c r="H379" i="1"/>
  <c r="I379" i="1"/>
  <c r="J379" i="1"/>
  <c r="K379" i="1"/>
  <c r="L379" i="1"/>
  <c r="M379" i="1"/>
  <c r="N379" i="1"/>
  <c r="O379" i="1"/>
  <c r="P379" i="1"/>
  <c r="A380" i="1"/>
  <c r="B380" i="1"/>
  <c r="C380" i="1"/>
  <c r="D380" i="1"/>
  <c r="E380" i="1"/>
  <c r="F380" i="1"/>
  <c r="G380" i="1"/>
  <c r="H380" i="1"/>
  <c r="I380" i="1"/>
  <c r="J380" i="1"/>
  <c r="K380" i="1"/>
  <c r="L380" i="1"/>
  <c r="M380" i="1"/>
  <c r="N380" i="1"/>
  <c r="O380" i="1"/>
  <c r="P380" i="1"/>
  <c r="A381" i="1"/>
  <c r="B381" i="1"/>
  <c r="C381" i="1"/>
  <c r="D381" i="1"/>
  <c r="E381" i="1"/>
  <c r="F381" i="1"/>
  <c r="G381" i="1"/>
  <c r="H381" i="1"/>
  <c r="I381" i="1"/>
  <c r="J381" i="1"/>
  <c r="K381" i="1"/>
  <c r="L381" i="1"/>
  <c r="M381" i="1"/>
  <c r="N381" i="1"/>
  <c r="O381" i="1"/>
  <c r="P381" i="1"/>
  <c r="A382" i="1"/>
  <c r="B382" i="1"/>
  <c r="C382" i="1"/>
  <c r="D382" i="1"/>
  <c r="E382" i="1"/>
  <c r="F382" i="1"/>
  <c r="G382" i="1"/>
  <c r="H382" i="1"/>
  <c r="I382" i="1"/>
  <c r="J382" i="1"/>
  <c r="K382" i="1"/>
  <c r="L382" i="1"/>
  <c r="M382" i="1"/>
  <c r="N382" i="1"/>
  <c r="O382" i="1"/>
  <c r="P382" i="1"/>
  <c r="A383" i="1"/>
  <c r="B383" i="1"/>
  <c r="C383" i="1"/>
  <c r="D383" i="1"/>
  <c r="E383" i="1"/>
  <c r="F383" i="1"/>
  <c r="G383" i="1"/>
  <c r="H383" i="1"/>
  <c r="I383" i="1"/>
  <c r="J383" i="1"/>
  <c r="K383" i="1"/>
  <c r="L383" i="1"/>
  <c r="M383" i="1"/>
  <c r="N383" i="1"/>
  <c r="O383" i="1"/>
  <c r="P383" i="1"/>
  <c r="A384" i="1"/>
  <c r="B384" i="1"/>
  <c r="C384" i="1"/>
  <c r="D384" i="1"/>
  <c r="E384" i="1"/>
  <c r="F384" i="1"/>
  <c r="G384" i="1"/>
  <c r="H384" i="1"/>
  <c r="I384" i="1"/>
  <c r="J384" i="1"/>
  <c r="K384" i="1"/>
  <c r="L384" i="1"/>
  <c r="M384" i="1"/>
  <c r="N384" i="1"/>
  <c r="O384" i="1"/>
  <c r="P384" i="1"/>
  <c r="A385" i="1"/>
  <c r="B385" i="1"/>
  <c r="C385" i="1"/>
  <c r="D385" i="1"/>
  <c r="E385" i="1"/>
  <c r="F385" i="1"/>
  <c r="G385" i="1"/>
  <c r="H385" i="1"/>
  <c r="I385" i="1"/>
  <c r="J385" i="1"/>
  <c r="K385" i="1"/>
  <c r="L385" i="1"/>
  <c r="M385" i="1"/>
  <c r="N385" i="1"/>
  <c r="O385" i="1"/>
  <c r="P385" i="1"/>
  <c r="A386" i="1"/>
  <c r="B386" i="1"/>
  <c r="C386" i="1"/>
  <c r="D386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A387" i="1"/>
  <c r="B387" i="1"/>
  <c r="C387" i="1"/>
  <c r="D387" i="1"/>
  <c r="E387" i="1"/>
  <c r="F387" i="1"/>
  <c r="G387" i="1"/>
  <c r="H387" i="1"/>
  <c r="I387" i="1"/>
  <c r="J387" i="1"/>
  <c r="K387" i="1"/>
  <c r="L387" i="1"/>
  <c r="M387" i="1"/>
  <c r="N387" i="1"/>
  <c r="O387" i="1"/>
  <c r="P387" i="1"/>
  <c r="A388" i="1"/>
  <c r="B388" i="1"/>
  <c r="C388" i="1"/>
  <c r="D388" i="1"/>
  <c r="E388" i="1"/>
  <c r="F388" i="1"/>
  <c r="G388" i="1"/>
  <c r="H388" i="1"/>
  <c r="I388" i="1"/>
  <c r="J388" i="1"/>
  <c r="K388" i="1"/>
  <c r="L388" i="1"/>
  <c r="M388" i="1"/>
  <c r="N388" i="1"/>
  <c r="O388" i="1"/>
  <c r="P388" i="1"/>
  <c r="A389" i="1"/>
  <c r="B389" i="1"/>
  <c r="C389" i="1"/>
  <c r="D389" i="1"/>
  <c r="E389" i="1"/>
  <c r="F389" i="1"/>
  <c r="G389" i="1"/>
  <c r="H389" i="1"/>
  <c r="I389" i="1"/>
  <c r="J389" i="1"/>
  <c r="K389" i="1"/>
  <c r="L389" i="1"/>
  <c r="M389" i="1"/>
  <c r="N389" i="1"/>
  <c r="O389" i="1"/>
  <c r="P389" i="1"/>
  <c r="A390" i="1"/>
  <c r="B390" i="1"/>
  <c r="C390" i="1"/>
  <c r="D390" i="1"/>
  <c r="E390" i="1"/>
  <c r="F390" i="1"/>
  <c r="G390" i="1"/>
  <c r="H390" i="1"/>
  <c r="I390" i="1"/>
  <c r="J390" i="1"/>
  <c r="K390" i="1"/>
  <c r="L390" i="1"/>
  <c r="M390" i="1"/>
  <c r="N390" i="1"/>
  <c r="O390" i="1"/>
  <c r="P390" i="1"/>
  <c r="A391" i="1"/>
  <c r="B391" i="1"/>
  <c r="C391" i="1"/>
  <c r="D391" i="1"/>
  <c r="E391" i="1"/>
  <c r="F391" i="1"/>
  <c r="G391" i="1"/>
  <c r="H391" i="1"/>
  <c r="I391" i="1"/>
  <c r="J391" i="1"/>
  <c r="K391" i="1"/>
  <c r="L391" i="1"/>
  <c r="M391" i="1"/>
  <c r="N391" i="1"/>
  <c r="O391" i="1"/>
  <c r="P391" i="1"/>
  <c r="A392" i="1"/>
  <c r="B392" i="1"/>
  <c r="C392" i="1"/>
  <c r="D392" i="1"/>
  <c r="E392" i="1"/>
  <c r="F392" i="1"/>
  <c r="G392" i="1"/>
  <c r="H392" i="1"/>
  <c r="I392" i="1"/>
  <c r="J392" i="1"/>
  <c r="K392" i="1"/>
  <c r="L392" i="1"/>
  <c r="M392" i="1"/>
  <c r="N392" i="1"/>
  <c r="O392" i="1"/>
  <c r="P392" i="1"/>
  <c r="A393" i="1"/>
  <c r="B393" i="1"/>
  <c r="C393" i="1"/>
  <c r="D393" i="1"/>
  <c r="E393" i="1"/>
  <c r="F393" i="1"/>
  <c r="G393" i="1"/>
  <c r="H393" i="1"/>
  <c r="I393" i="1"/>
  <c r="J393" i="1"/>
  <c r="K393" i="1"/>
  <c r="L393" i="1"/>
  <c r="M393" i="1"/>
  <c r="N393" i="1"/>
  <c r="O393" i="1"/>
  <c r="P393" i="1"/>
  <c r="A394" i="1"/>
  <c r="B394" i="1"/>
  <c r="C394" i="1"/>
  <c r="D394" i="1"/>
  <c r="E394" i="1"/>
  <c r="F394" i="1"/>
  <c r="G394" i="1"/>
  <c r="H394" i="1"/>
  <c r="I394" i="1"/>
  <c r="J394" i="1"/>
  <c r="K394" i="1"/>
  <c r="L394" i="1"/>
  <c r="M394" i="1"/>
  <c r="N394" i="1"/>
  <c r="O394" i="1"/>
  <c r="P394" i="1"/>
  <c r="A395" i="1"/>
  <c r="B395" i="1"/>
  <c r="C395" i="1"/>
  <c r="D395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A396" i="1"/>
  <c r="B396" i="1"/>
  <c r="C396" i="1"/>
  <c r="D396" i="1"/>
  <c r="E396" i="1"/>
  <c r="F396" i="1"/>
  <c r="G396" i="1"/>
  <c r="H396" i="1"/>
  <c r="I396" i="1"/>
  <c r="J396" i="1"/>
  <c r="K396" i="1"/>
  <c r="L396" i="1"/>
  <c r="M396" i="1"/>
  <c r="N396" i="1"/>
  <c r="O396" i="1"/>
  <c r="P396" i="1"/>
  <c r="A397" i="1"/>
  <c r="B397" i="1"/>
  <c r="C397" i="1"/>
  <c r="D397" i="1"/>
  <c r="E397" i="1"/>
  <c r="F397" i="1"/>
  <c r="G397" i="1"/>
  <c r="H397" i="1"/>
  <c r="I397" i="1"/>
  <c r="J397" i="1"/>
  <c r="K397" i="1"/>
  <c r="L397" i="1"/>
  <c r="M397" i="1"/>
  <c r="N397" i="1"/>
  <c r="O397" i="1"/>
  <c r="P397" i="1"/>
  <c r="A398" i="1"/>
  <c r="B398" i="1"/>
  <c r="C398" i="1"/>
  <c r="D398" i="1"/>
  <c r="E398" i="1"/>
  <c r="F398" i="1"/>
  <c r="G398" i="1"/>
  <c r="H398" i="1"/>
  <c r="I398" i="1"/>
  <c r="J398" i="1"/>
  <c r="K398" i="1"/>
  <c r="L398" i="1"/>
  <c r="M398" i="1"/>
  <c r="N398" i="1"/>
  <c r="O398" i="1"/>
  <c r="P398" i="1"/>
  <c r="A399" i="1"/>
  <c r="B399" i="1"/>
  <c r="C399" i="1"/>
  <c r="D399" i="1"/>
  <c r="E399" i="1"/>
  <c r="F399" i="1"/>
  <c r="G399" i="1"/>
  <c r="H399" i="1"/>
  <c r="I399" i="1"/>
  <c r="J399" i="1"/>
  <c r="K399" i="1"/>
  <c r="L399" i="1"/>
  <c r="M399" i="1"/>
  <c r="N399" i="1"/>
  <c r="O399" i="1"/>
  <c r="P399" i="1"/>
  <c r="A400" i="1"/>
  <c r="B400" i="1"/>
  <c r="C400" i="1"/>
  <c r="D400" i="1"/>
  <c r="E400" i="1"/>
  <c r="F400" i="1"/>
  <c r="G400" i="1"/>
  <c r="H400" i="1"/>
  <c r="I400" i="1"/>
  <c r="J400" i="1"/>
  <c r="K400" i="1"/>
  <c r="L400" i="1"/>
  <c r="M400" i="1"/>
  <c r="N400" i="1"/>
  <c r="O400" i="1"/>
  <c r="P400" i="1"/>
  <c r="A401" i="1"/>
  <c r="B401" i="1"/>
  <c r="C401" i="1"/>
  <c r="D401" i="1"/>
  <c r="E401" i="1"/>
  <c r="F401" i="1"/>
  <c r="G401" i="1"/>
  <c r="H401" i="1"/>
  <c r="I401" i="1"/>
  <c r="J401" i="1"/>
  <c r="K401" i="1"/>
  <c r="L401" i="1"/>
  <c r="M401" i="1"/>
  <c r="N401" i="1"/>
  <c r="O401" i="1"/>
  <c r="P401" i="1"/>
  <c r="A402" i="1"/>
  <c r="B402" i="1"/>
  <c r="C402" i="1"/>
  <c r="D402" i="1"/>
  <c r="E402" i="1"/>
  <c r="F402" i="1"/>
  <c r="G402" i="1"/>
  <c r="H402" i="1"/>
  <c r="I402" i="1"/>
  <c r="J402" i="1"/>
  <c r="K402" i="1"/>
  <c r="L402" i="1"/>
  <c r="M402" i="1"/>
  <c r="N402" i="1"/>
  <c r="O402" i="1"/>
  <c r="P402" i="1"/>
  <c r="A403" i="1"/>
  <c r="B403" i="1"/>
  <c r="C403" i="1"/>
  <c r="D403" i="1"/>
  <c r="E403" i="1"/>
  <c r="F403" i="1"/>
  <c r="G403" i="1"/>
  <c r="H403" i="1"/>
  <c r="I403" i="1"/>
  <c r="J403" i="1"/>
  <c r="K403" i="1"/>
  <c r="L403" i="1"/>
  <c r="M403" i="1"/>
  <c r="N403" i="1"/>
  <c r="O403" i="1"/>
  <c r="P403" i="1"/>
  <c r="A404" i="1"/>
  <c r="B404" i="1"/>
  <c r="C404" i="1"/>
  <c r="D404" i="1"/>
  <c r="E404" i="1"/>
  <c r="F404" i="1"/>
  <c r="G404" i="1"/>
  <c r="H404" i="1"/>
  <c r="I404" i="1"/>
  <c r="J404" i="1"/>
  <c r="K404" i="1"/>
  <c r="L404" i="1"/>
  <c r="M404" i="1"/>
  <c r="N404" i="1"/>
  <c r="O404" i="1"/>
  <c r="P404" i="1"/>
  <c r="A405" i="1"/>
  <c r="B405" i="1"/>
  <c r="C405" i="1"/>
  <c r="D405" i="1"/>
  <c r="E405" i="1"/>
  <c r="F405" i="1"/>
  <c r="G405" i="1"/>
  <c r="H405" i="1"/>
  <c r="I405" i="1"/>
  <c r="J405" i="1"/>
  <c r="K405" i="1"/>
  <c r="L405" i="1"/>
  <c r="M405" i="1"/>
  <c r="N405" i="1"/>
  <c r="O405" i="1"/>
  <c r="P405" i="1"/>
  <c r="A406" i="1"/>
  <c r="B406" i="1"/>
  <c r="C406" i="1"/>
  <c r="D406" i="1"/>
  <c r="E406" i="1"/>
  <c r="F406" i="1"/>
  <c r="G406" i="1"/>
  <c r="H406" i="1"/>
  <c r="I406" i="1"/>
  <c r="J406" i="1"/>
  <c r="K406" i="1"/>
  <c r="L406" i="1"/>
  <c r="M406" i="1"/>
  <c r="N406" i="1"/>
  <c r="O406" i="1"/>
  <c r="P406" i="1"/>
  <c r="A407" i="1"/>
  <c r="B407" i="1"/>
  <c r="C407" i="1"/>
  <c r="D407" i="1"/>
  <c r="E407" i="1"/>
  <c r="F407" i="1"/>
  <c r="G407" i="1"/>
  <c r="H407" i="1"/>
  <c r="I407" i="1"/>
  <c r="J407" i="1"/>
  <c r="K407" i="1"/>
  <c r="L407" i="1"/>
  <c r="M407" i="1"/>
  <c r="N407" i="1"/>
  <c r="O407" i="1"/>
  <c r="P407" i="1"/>
  <c r="A408" i="1"/>
  <c r="B408" i="1"/>
  <c r="C408" i="1"/>
  <c r="D408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A409" i="1"/>
  <c r="B409" i="1"/>
  <c r="C409" i="1"/>
  <c r="D409" i="1"/>
  <c r="E409" i="1"/>
  <c r="F409" i="1"/>
  <c r="G409" i="1"/>
  <c r="H409" i="1"/>
  <c r="I409" i="1"/>
  <c r="J409" i="1"/>
  <c r="K409" i="1"/>
  <c r="L409" i="1"/>
  <c r="M409" i="1"/>
  <c r="N409" i="1"/>
  <c r="O409" i="1"/>
  <c r="P409" i="1"/>
  <c r="A410" i="1"/>
  <c r="B410" i="1"/>
  <c r="C410" i="1"/>
  <c r="D410" i="1"/>
  <c r="E410" i="1"/>
  <c r="F410" i="1"/>
  <c r="G410" i="1"/>
  <c r="H410" i="1"/>
  <c r="I410" i="1"/>
  <c r="J410" i="1"/>
  <c r="K410" i="1"/>
  <c r="L410" i="1"/>
  <c r="M410" i="1"/>
  <c r="N410" i="1"/>
  <c r="O410" i="1"/>
  <c r="P410" i="1"/>
  <c r="A411" i="1"/>
  <c r="B411" i="1"/>
  <c r="C411" i="1"/>
  <c r="D411" i="1"/>
  <c r="E411" i="1"/>
  <c r="F411" i="1"/>
  <c r="G411" i="1"/>
  <c r="H411" i="1"/>
  <c r="I411" i="1"/>
  <c r="J411" i="1"/>
  <c r="K411" i="1"/>
  <c r="L411" i="1"/>
  <c r="M411" i="1"/>
  <c r="N411" i="1"/>
  <c r="O411" i="1"/>
  <c r="P411" i="1"/>
  <c r="A412" i="1"/>
  <c r="B412" i="1"/>
  <c r="C412" i="1"/>
  <c r="D412" i="1"/>
  <c r="E412" i="1"/>
  <c r="F412" i="1"/>
  <c r="G412" i="1"/>
  <c r="H412" i="1"/>
  <c r="I412" i="1"/>
  <c r="J412" i="1"/>
  <c r="K412" i="1"/>
  <c r="L412" i="1"/>
  <c r="M412" i="1"/>
  <c r="N412" i="1"/>
  <c r="O412" i="1"/>
  <c r="P412" i="1"/>
  <c r="A413" i="1"/>
  <c r="B413" i="1"/>
  <c r="C413" i="1"/>
  <c r="D413" i="1"/>
  <c r="E413" i="1"/>
  <c r="F413" i="1"/>
  <c r="G413" i="1"/>
  <c r="H413" i="1"/>
  <c r="I413" i="1"/>
  <c r="J413" i="1"/>
  <c r="K413" i="1"/>
  <c r="L413" i="1"/>
  <c r="M413" i="1"/>
  <c r="N413" i="1"/>
  <c r="O413" i="1"/>
  <c r="P413" i="1"/>
  <c r="A414" i="1"/>
  <c r="B414" i="1"/>
  <c r="C414" i="1"/>
  <c r="D414" i="1"/>
  <c r="E414" i="1"/>
  <c r="F414" i="1"/>
  <c r="G414" i="1"/>
  <c r="H414" i="1"/>
  <c r="I414" i="1"/>
  <c r="J414" i="1"/>
  <c r="K414" i="1"/>
  <c r="L414" i="1"/>
  <c r="M414" i="1"/>
  <c r="N414" i="1"/>
  <c r="O414" i="1"/>
  <c r="P414" i="1"/>
  <c r="A415" i="1"/>
  <c r="B415" i="1"/>
  <c r="C415" i="1"/>
  <c r="D415" i="1"/>
  <c r="E415" i="1"/>
  <c r="F415" i="1"/>
  <c r="G415" i="1"/>
  <c r="H415" i="1"/>
  <c r="I415" i="1"/>
  <c r="J415" i="1"/>
  <c r="K415" i="1"/>
  <c r="L415" i="1"/>
  <c r="M415" i="1"/>
  <c r="N415" i="1"/>
  <c r="O415" i="1"/>
  <c r="P415" i="1"/>
  <c r="A416" i="1"/>
  <c r="B416" i="1"/>
  <c r="C416" i="1"/>
  <c r="D416" i="1"/>
  <c r="E416" i="1"/>
  <c r="F416" i="1"/>
  <c r="G416" i="1"/>
  <c r="H416" i="1"/>
  <c r="I416" i="1"/>
  <c r="J416" i="1"/>
  <c r="K416" i="1"/>
  <c r="L416" i="1"/>
  <c r="M416" i="1"/>
  <c r="N416" i="1"/>
  <c r="O416" i="1"/>
  <c r="P416" i="1"/>
  <c r="A417" i="1"/>
  <c r="B417" i="1"/>
  <c r="C417" i="1"/>
  <c r="D417" i="1"/>
  <c r="E417" i="1"/>
  <c r="F417" i="1"/>
  <c r="G417" i="1"/>
  <c r="H417" i="1"/>
  <c r="I417" i="1"/>
  <c r="J417" i="1"/>
  <c r="K417" i="1"/>
  <c r="L417" i="1"/>
  <c r="M417" i="1"/>
  <c r="N417" i="1"/>
  <c r="O417" i="1"/>
  <c r="P417" i="1"/>
  <c r="A418" i="1"/>
  <c r="B418" i="1"/>
  <c r="C418" i="1"/>
  <c r="D418" i="1"/>
  <c r="E418" i="1"/>
  <c r="F418" i="1"/>
  <c r="G418" i="1"/>
  <c r="H418" i="1"/>
  <c r="I418" i="1"/>
  <c r="J418" i="1"/>
  <c r="K418" i="1"/>
  <c r="L418" i="1"/>
  <c r="M418" i="1"/>
  <c r="N418" i="1"/>
  <c r="O418" i="1"/>
  <c r="P418" i="1"/>
  <c r="A419" i="1"/>
  <c r="B419" i="1"/>
  <c r="C419" i="1"/>
  <c r="D419" i="1"/>
  <c r="E419" i="1"/>
  <c r="F419" i="1"/>
  <c r="G419" i="1"/>
  <c r="H419" i="1"/>
  <c r="I419" i="1"/>
  <c r="J419" i="1"/>
  <c r="K419" i="1"/>
  <c r="L419" i="1"/>
  <c r="M419" i="1"/>
  <c r="N419" i="1"/>
  <c r="O419" i="1"/>
  <c r="P419" i="1"/>
  <c r="A420" i="1"/>
  <c r="B420" i="1"/>
  <c r="C420" i="1"/>
  <c r="D420" i="1"/>
  <c r="E420" i="1"/>
  <c r="F420" i="1"/>
  <c r="G420" i="1"/>
  <c r="H420" i="1"/>
  <c r="I420" i="1"/>
  <c r="J420" i="1"/>
  <c r="K420" i="1"/>
  <c r="L420" i="1"/>
  <c r="M420" i="1"/>
  <c r="N420" i="1"/>
  <c r="O420" i="1"/>
  <c r="P420" i="1"/>
  <c r="A421" i="1"/>
  <c r="B421" i="1"/>
  <c r="C421" i="1"/>
  <c r="D421" i="1"/>
  <c r="E421" i="1"/>
  <c r="F421" i="1"/>
  <c r="G421" i="1"/>
  <c r="H421" i="1"/>
  <c r="I421" i="1"/>
  <c r="J421" i="1"/>
  <c r="K421" i="1"/>
  <c r="L421" i="1"/>
  <c r="M421" i="1"/>
  <c r="N421" i="1"/>
  <c r="O421" i="1"/>
  <c r="P421" i="1"/>
  <c r="A422" i="1"/>
  <c r="B422" i="1"/>
  <c r="C422" i="1"/>
  <c r="D422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A423" i="1"/>
  <c r="B423" i="1"/>
  <c r="C423" i="1"/>
  <c r="D423" i="1"/>
  <c r="E423" i="1"/>
  <c r="F423" i="1"/>
  <c r="G423" i="1"/>
  <c r="H423" i="1"/>
  <c r="I423" i="1"/>
  <c r="J423" i="1"/>
  <c r="K423" i="1"/>
  <c r="L423" i="1"/>
  <c r="M423" i="1"/>
  <c r="N423" i="1"/>
  <c r="O423" i="1"/>
  <c r="P423" i="1"/>
  <c r="A424" i="1"/>
  <c r="B424" i="1"/>
  <c r="C424" i="1"/>
  <c r="D424" i="1"/>
  <c r="E424" i="1"/>
  <c r="F424" i="1"/>
  <c r="G424" i="1"/>
  <c r="H424" i="1"/>
  <c r="I424" i="1"/>
  <c r="J424" i="1"/>
  <c r="K424" i="1"/>
  <c r="L424" i="1"/>
  <c r="M424" i="1"/>
  <c r="N424" i="1"/>
  <c r="O424" i="1"/>
  <c r="P424" i="1"/>
  <c r="A425" i="1"/>
  <c r="B425" i="1"/>
  <c r="C425" i="1"/>
  <c r="D425" i="1"/>
  <c r="E425" i="1"/>
  <c r="F425" i="1"/>
  <c r="G425" i="1"/>
  <c r="H425" i="1"/>
  <c r="I425" i="1"/>
  <c r="J425" i="1"/>
  <c r="K425" i="1"/>
  <c r="L425" i="1"/>
  <c r="M425" i="1"/>
  <c r="N425" i="1"/>
  <c r="O425" i="1"/>
  <c r="P425" i="1"/>
  <c r="A426" i="1"/>
  <c r="B426" i="1"/>
  <c r="C426" i="1"/>
  <c r="D426" i="1"/>
  <c r="E426" i="1"/>
  <c r="F426" i="1"/>
  <c r="G426" i="1"/>
  <c r="H426" i="1"/>
  <c r="I426" i="1"/>
  <c r="J426" i="1"/>
  <c r="K426" i="1"/>
  <c r="L426" i="1"/>
  <c r="M426" i="1"/>
  <c r="N426" i="1"/>
  <c r="O426" i="1"/>
  <c r="P426" i="1"/>
  <c r="A427" i="1"/>
  <c r="B427" i="1"/>
  <c r="C427" i="1"/>
  <c r="D427" i="1"/>
  <c r="E427" i="1"/>
  <c r="F427" i="1"/>
  <c r="G427" i="1"/>
  <c r="H427" i="1"/>
  <c r="I427" i="1"/>
  <c r="J427" i="1"/>
  <c r="K427" i="1"/>
  <c r="L427" i="1"/>
  <c r="M427" i="1"/>
  <c r="N427" i="1"/>
  <c r="O427" i="1"/>
  <c r="P427" i="1"/>
  <c r="A428" i="1"/>
  <c r="B428" i="1"/>
  <c r="C428" i="1"/>
  <c r="D428" i="1"/>
  <c r="E428" i="1"/>
  <c r="F428" i="1"/>
  <c r="G428" i="1"/>
  <c r="H428" i="1"/>
  <c r="I428" i="1"/>
  <c r="J428" i="1"/>
  <c r="K428" i="1"/>
  <c r="L428" i="1"/>
  <c r="M428" i="1"/>
  <c r="N428" i="1"/>
  <c r="O428" i="1"/>
  <c r="P428" i="1"/>
  <c r="A429" i="1"/>
  <c r="B429" i="1"/>
  <c r="C429" i="1"/>
  <c r="D429" i="1"/>
  <c r="E429" i="1"/>
  <c r="F429" i="1"/>
  <c r="G429" i="1"/>
  <c r="H429" i="1"/>
  <c r="I429" i="1"/>
  <c r="J429" i="1"/>
  <c r="K429" i="1"/>
  <c r="L429" i="1"/>
  <c r="M429" i="1"/>
  <c r="N429" i="1"/>
  <c r="O429" i="1"/>
  <c r="P429" i="1"/>
  <c r="A430" i="1"/>
  <c r="B430" i="1"/>
  <c r="C430" i="1"/>
  <c r="D430" i="1"/>
  <c r="E430" i="1"/>
  <c r="F430" i="1"/>
  <c r="G430" i="1"/>
  <c r="H430" i="1"/>
  <c r="I430" i="1"/>
  <c r="J430" i="1"/>
  <c r="K430" i="1"/>
  <c r="L430" i="1"/>
  <c r="M430" i="1"/>
  <c r="N430" i="1"/>
  <c r="O430" i="1"/>
  <c r="P430" i="1"/>
  <c r="A431" i="1"/>
  <c r="B431" i="1"/>
  <c r="C431" i="1"/>
  <c r="D431" i="1"/>
  <c r="E431" i="1"/>
  <c r="F431" i="1"/>
  <c r="G431" i="1"/>
  <c r="H431" i="1"/>
  <c r="I431" i="1"/>
  <c r="J431" i="1"/>
  <c r="K431" i="1"/>
  <c r="L431" i="1"/>
  <c r="M431" i="1"/>
  <c r="N431" i="1"/>
  <c r="O431" i="1"/>
  <c r="P431" i="1"/>
  <c r="A432" i="1"/>
  <c r="B432" i="1"/>
  <c r="C432" i="1"/>
  <c r="D432" i="1"/>
  <c r="E432" i="1"/>
  <c r="F432" i="1"/>
  <c r="G432" i="1"/>
  <c r="H432" i="1"/>
  <c r="I432" i="1"/>
  <c r="J432" i="1"/>
  <c r="K432" i="1"/>
  <c r="L432" i="1"/>
  <c r="M432" i="1"/>
  <c r="N432" i="1"/>
  <c r="O432" i="1"/>
  <c r="P432" i="1"/>
  <c r="A433" i="1"/>
  <c r="B433" i="1"/>
  <c r="C433" i="1"/>
  <c r="D433" i="1"/>
  <c r="E433" i="1"/>
  <c r="F433" i="1"/>
  <c r="G433" i="1"/>
  <c r="H433" i="1"/>
  <c r="I433" i="1"/>
  <c r="J433" i="1"/>
  <c r="K433" i="1"/>
  <c r="L433" i="1"/>
  <c r="M433" i="1"/>
  <c r="N433" i="1"/>
  <c r="O433" i="1"/>
  <c r="P433" i="1"/>
  <c r="A434" i="1"/>
  <c r="B434" i="1"/>
  <c r="C434" i="1"/>
  <c r="D434" i="1"/>
  <c r="E434" i="1"/>
  <c r="F434" i="1"/>
  <c r="G434" i="1"/>
  <c r="H434" i="1"/>
  <c r="I434" i="1"/>
  <c r="J434" i="1"/>
  <c r="K434" i="1"/>
  <c r="L434" i="1"/>
  <c r="M434" i="1"/>
  <c r="N434" i="1"/>
  <c r="O434" i="1"/>
  <c r="P434" i="1"/>
  <c r="A435" i="1"/>
  <c r="B435" i="1"/>
  <c r="C435" i="1"/>
  <c r="D435" i="1"/>
  <c r="E435" i="1"/>
  <c r="F435" i="1"/>
  <c r="G435" i="1"/>
  <c r="H435" i="1"/>
  <c r="I435" i="1"/>
  <c r="J435" i="1"/>
  <c r="K435" i="1"/>
  <c r="L435" i="1"/>
  <c r="M435" i="1"/>
  <c r="N435" i="1"/>
  <c r="O435" i="1"/>
  <c r="P435" i="1"/>
  <c r="A436" i="1"/>
  <c r="B436" i="1"/>
  <c r="C436" i="1"/>
  <c r="D436" i="1"/>
  <c r="E436" i="1"/>
  <c r="F436" i="1"/>
  <c r="G436" i="1"/>
  <c r="H436" i="1"/>
  <c r="I436" i="1"/>
  <c r="J436" i="1"/>
  <c r="K436" i="1"/>
  <c r="L436" i="1"/>
  <c r="M436" i="1"/>
  <c r="N436" i="1"/>
  <c r="O436" i="1"/>
  <c r="P436" i="1"/>
  <c r="A437" i="1"/>
  <c r="B437" i="1"/>
  <c r="C437" i="1"/>
  <c r="D437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A438" i="1"/>
  <c r="B438" i="1"/>
  <c r="C438" i="1"/>
  <c r="D438" i="1"/>
  <c r="E438" i="1"/>
  <c r="F438" i="1"/>
  <c r="G438" i="1"/>
  <c r="H438" i="1"/>
  <c r="I438" i="1"/>
  <c r="J438" i="1"/>
  <c r="K438" i="1"/>
  <c r="L438" i="1"/>
  <c r="M438" i="1"/>
  <c r="N438" i="1"/>
  <c r="O438" i="1"/>
  <c r="P438" i="1"/>
  <c r="A439" i="1"/>
  <c r="B439" i="1"/>
  <c r="C439" i="1"/>
  <c r="D439" i="1"/>
  <c r="E439" i="1"/>
  <c r="F439" i="1"/>
  <c r="G439" i="1"/>
  <c r="H439" i="1"/>
  <c r="I439" i="1"/>
  <c r="J439" i="1"/>
  <c r="K439" i="1"/>
  <c r="L439" i="1"/>
  <c r="M439" i="1"/>
  <c r="N439" i="1"/>
  <c r="O439" i="1"/>
  <c r="P439" i="1"/>
  <c r="A440" i="1"/>
  <c r="B440" i="1"/>
  <c r="C440" i="1"/>
  <c r="D440" i="1"/>
  <c r="E440" i="1"/>
  <c r="F440" i="1"/>
  <c r="G440" i="1"/>
  <c r="H440" i="1"/>
  <c r="I440" i="1"/>
  <c r="J440" i="1"/>
  <c r="K440" i="1"/>
  <c r="L440" i="1"/>
  <c r="M440" i="1"/>
  <c r="N440" i="1"/>
  <c r="O440" i="1"/>
  <c r="P440" i="1"/>
  <c r="A441" i="1"/>
  <c r="B441" i="1"/>
  <c r="C441" i="1"/>
  <c r="D441" i="1"/>
  <c r="E441" i="1"/>
  <c r="F441" i="1"/>
  <c r="G441" i="1"/>
  <c r="H441" i="1"/>
  <c r="I441" i="1"/>
  <c r="J441" i="1"/>
  <c r="K441" i="1"/>
  <c r="L441" i="1"/>
  <c r="M441" i="1"/>
  <c r="N441" i="1"/>
  <c r="O441" i="1"/>
  <c r="P441" i="1"/>
  <c r="A442" i="1"/>
  <c r="B442" i="1"/>
  <c r="C442" i="1"/>
  <c r="D442" i="1"/>
  <c r="E442" i="1"/>
  <c r="F442" i="1"/>
  <c r="G442" i="1"/>
  <c r="H442" i="1"/>
  <c r="I442" i="1"/>
  <c r="J442" i="1"/>
  <c r="K442" i="1"/>
  <c r="L442" i="1"/>
  <c r="M442" i="1"/>
  <c r="N442" i="1"/>
  <c r="O442" i="1"/>
  <c r="P442" i="1"/>
  <c r="A443" i="1"/>
  <c r="B443" i="1"/>
  <c r="C443" i="1"/>
  <c r="D443" i="1"/>
  <c r="E443" i="1"/>
  <c r="F443" i="1"/>
  <c r="G443" i="1"/>
  <c r="H443" i="1"/>
  <c r="I443" i="1"/>
  <c r="J443" i="1"/>
  <c r="K443" i="1"/>
  <c r="L443" i="1"/>
  <c r="M443" i="1"/>
  <c r="N443" i="1"/>
  <c r="O443" i="1"/>
  <c r="P443" i="1"/>
  <c r="A444" i="1"/>
  <c r="B444" i="1"/>
  <c r="C444" i="1"/>
  <c r="D444" i="1"/>
  <c r="E444" i="1"/>
  <c r="F444" i="1"/>
  <c r="G444" i="1"/>
  <c r="H444" i="1"/>
  <c r="I444" i="1"/>
  <c r="J444" i="1"/>
  <c r="K444" i="1"/>
  <c r="L444" i="1"/>
  <c r="M444" i="1"/>
  <c r="N444" i="1"/>
  <c r="O444" i="1"/>
  <c r="P444" i="1"/>
  <c r="A445" i="1"/>
  <c r="B445" i="1"/>
  <c r="C445" i="1"/>
  <c r="D445" i="1"/>
  <c r="E445" i="1"/>
  <c r="F445" i="1"/>
  <c r="G445" i="1"/>
  <c r="H445" i="1"/>
  <c r="I445" i="1"/>
  <c r="J445" i="1"/>
  <c r="K445" i="1"/>
  <c r="L445" i="1"/>
  <c r="M445" i="1"/>
  <c r="N445" i="1"/>
  <c r="O445" i="1"/>
  <c r="P445" i="1"/>
  <c r="A446" i="1"/>
  <c r="B446" i="1"/>
  <c r="C446" i="1"/>
  <c r="D446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A447" i="1"/>
  <c r="B447" i="1"/>
  <c r="C447" i="1"/>
  <c r="D447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A448" i="1"/>
  <c r="B448" i="1"/>
  <c r="C448" i="1"/>
  <c r="D448" i="1"/>
  <c r="E448" i="1"/>
  <c r="F448" i="1"/>
  <c r="G448" i="1"/>
  <c r="H448" i="1"/>
  <c r="I448" i="1"/>
  <c r="J448" i="1"/>
  <c r="K448" i="1"/>
  <c r="L448" i="1"/>
  <c r="M448" i="1"/>
  <c r="N448" i="1"/>
  <c r="O448" i="1"/>
  <c r="P448" i="1"/>
  <c r="A449" i="1"/>
  <c r="B449" i="1"/>
  <c r="C449" i="1"/>
  <c r="D449" i="1"/>
  <c r="E449" i="1"/>
  <c r="F449" i="1"/>
  <c r="G449" i="1"/>
  <c r="H449" i="1"/>
  <c r="I449" i="1"/>
  <c r="J449" i="1"/>
  <c r="K449" i="1"/>
  <c r="L449" i="1"/>
  <c r="M449" i="1"/>
  <c r="N449" i="1"/>
  <c r="O449" i="1"/>
  <c r="P449" i="1"/>
  <c r="A450" i="1"/>
  <c r="B450" i="1"/>
  <c r="C450" i="1"/>
  <c r="D450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A451" i="1"/>
  <c r="B451" i="1"/>
  <c r="C451" i="1"/>
  <c r="D451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A452" i="1"/>
  <c r="B452" i="1"/>
  <c r="C452" i="1"/>
  <c r="D452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A453" i="1"/>
  <c r="B453" i="1"/>
  <c r="C453" i="1"/>
  <c r="D453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A454" i="1"/>
  <c r="B454" i="1"/>
  <c r="C454" i="1"/>
  <c r="D454" i="1"/>
  <c r="E454" i="1"/>
  <c r="F454" i="1"/>
  <c r="G454" i="1"/>
  <c r="H454" i="1"/>
  <c r="I454" i="1"/>
  <c r="J454" i="1"/>
  <c r="K454" i="1"/>
  <c r="L454" i="1"/>
  <c r="M454" i="1"/>
  <c r="N454" i="1"/>
  <c r="O454" i="1"/>
  <c r="P454" i="1"/>
  <c r="A455" i="1"/>
  <c r="B455" i="1"/>
  <c r="C455" i="1"/>
  <c r="D455" i="1"/>
  <c r="E455" i="1"/>
  <c r="F455" i="1"/>
  <c r="G455" i="1"/>
  <c r="H455" i="1"/>
  <c r="I455" i="1"/>
  <c r="J455" i="1"/>
  <c r="K455" i="1"/>
  <c r="L455" i="1"/>
  <c r="M455" i="1"/>
  <c r="N455" i="1"/>
  <c r="O455" i="1"/>
  <c r="P455" i="1"/>
  <c r="A456" i="1"/>
  <c r="B456" i="1"/>
  <c r="C456" i="1"/>
  <c r="D456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A457" i="1"/>
  <c r="B457" i="1"/>
  <c r="C457" i="1"/>
  <c r="D457" i="1"/>
  <c r="E457" i="1"/>
  <c r="F457" i="1"/>
  <c r="G457" i="1"/>
  <c r="H457" i="1"/>
  <c r="I457" i="1"/>
  <c r="J457" i="1"/>
  <c r="K457" i="1"/>
  <c r="L457" i="1"/>
  <c r="M457" i="1"/>
  <c r="N457" i="1"/>
  <c r="O457" i="1"/>
  <c r="P457" i="1"/>
  <c r="A458" i="1"/>
  <c r="B458" i="1"/>
  <c r="C458" i="1"/>
  <c r="D458" i="1"/>
  <c r="E458" i="1"/>
  <c r="F458" i="1"/>
  <c r="G458" i="1"/>
  <c r="H458" i="1"/>
  <c r="I458" i="1"/>
  <c r="J458" i="1"/>
  <c r="K458" i="1"/>
  <c r="L458" i="1"/>
  <c r="M458" i="1"/>
  <c r="N458" i="1"/>
  <c r="O458" i="1"/>
  <c r="P458" i="1"/>
  <c r="A459" i="1"/>
  <c r="B459" i="1"/>
  <c r="C459" i="1"/>
  <c r="D459" i="1"/>
  <c r="E459" i="1"/>
  <c r="F459" i="1"/>
  <c r="G459" i="1"/>
  <c r="H459" i="1"/>
  <c r="I459" i="1"/>
  <c r="J459" i="1"/>
  <c r="K459" i="1"/>
  <c r="L459" i="1"/>
  <c r="M459" i="1"/>
  <c r="N459" i="1"/>
  <c r="O459" i="1"/>
  <c r="P459" i="1"/>
  <c r="A460" i="1"/>
  <c r="B460" i="1"/>
  <c r="C460" i="1"/>
  <c r="D460" i="1"/>
  <c r="E460" i="1"/>
  <c r="F460" i="1"/>
  <c r="G460" i="1"/>
  <c r="H460" i="1"/>
  <c r="I460" i="1"/>
  <c r="J460" i="1"/>
  <c r="K460" i="1"/>
  <c r="L460" i="1"/>
  <c r="M460" i="1"/>
  <c r="N460" i="1"/>
  <c r="O460" i="1"/>
  <c r="P460" i="1"/>
  <c r="A461" i="1"/>
  <c r="B461" i="1"/>
  <c r="C461" i="1"/>
  <c r="D461" i="1"/>
  <c r="E461" i="1"/>
  <c r="F461" i="1"/>
  <c r="G461" i="1"/>
  <c r="H461" i="1"/>
  <c r="I461" i="1"/>
  <c r="J461" i="1"/>
  <c r="K461" i="1"/>
  <c r="L461" i="1"/>
  <c r="M461" i="1"/>
  <c r="N461" i="1"/>
  <c r="O461" i="1"/>
  <c r="P461" i="1"/>
  <c r="A462" i="1"/>
  <c r="B462" i="1"/>
  <c r="C462" i="1"/>
  <c r="D462" i="1"/>
  <c r="E462" i="1"/>
  <c r="F462" i="1"/>
  <c r="G462" i="1"/>
  <c r="H462" i="1"/>
  <c r="I462" i="1"/>
  <c r="J462" i="1"/>
  <c r="K462" i="1"/>
  <c r="L462" i="1"/>
  <c r="M462" i="1"/>
  <c r="N462" i="1"/>
  <c r="O462" i="1"/>
  <c r="P462" i="1"/>
  <c r="A463" i="1"/>
  <c r="B463" i="1"/>
  <c r="C463" i="1"/>
  <c r="D463" i="1"/>
  <c r="E463" i="1"/>
  <c r="F463" i="1"/>
  <c r="G463" i="1"/>
  <c r="H463" i="1"/>
  <c r="I463" i="1"/>
  <c r="J463" i="1"/>
  <c r="K463" i="1"/>
  <c r="L463" i="1"/>
  <c r="M463" i="1"/>
  <c r="N463" i="1"/>
  <c r="O463" i="1"/>
  <c r="P463" i="1"/>
  <c r="A464" i="1"/>
  <c r="B464" i="1"/>
  <c r="C464" i="1"/>
  <c r="D464" i="1"/>
  <c r="E464" i="1"/>
  <c r="F464" i="1"/>
  <c r="G464" i="1"/>
  <c r="H464" i="1"/>
  <c r="I464" i="1"/>
  <c r="J464" i="1"/>
  <c r="K464" i="1"/>
  <c r="L464" i="1"/>
  <c r="M464" i="1"/>
  <c r="N464" i="1"/>
  <c r="O464" i="1"/>
  <c r="P464" i="1"/>
  <c r="A465" i="1"/>
  <c r="B465" i="1"/>
  <c r="C465" i="1"/>
  <c r="D465" i="1"/>
  <c r="E465" i="1"/>
  <c r="F465" i="1"/>
  <c r="G465" i="1"/>
  <c r="H465" i="1"/>
  <c r="I465" i="1"/>
  <c r="J465" i="1"/>
  <c r="K465" i="1"/>
  <c r="L465" i="1"/>
  <c r="M465" i="1"/>
  <c r="N465" i="1"/>
  <c r="O465" i="1"/>
  <c r="P465" i="1"/>
  <c r="A466" i="1"/>
  <c r="B466" i="1"/>
  <c r="C466" i="1"/>
  <c r="D466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A467" i="1"/>
  <c r="B467" i="1"/>
  <c r="C467" i="1"/>
  <c r="D467" i="1"/>
  <c r="E467" i="1"/>
  <c r="F467" i="1"/>
  <c r="G467" i="1"/>
  <c r="H467" i="1"/>
  <c r="I467" i="1"/>
  <c r="J467" i="1"/>
  <c r="K467" i="1"/>
  <c r="L467" i="1"/>
  <c r="M467" i="1"/>
  <c r="N467" i="1"/>
  <c r="O467" i="1"/>
  <c r="P467" i="1"/>
  <c r="A468" i="1"/>
  <c r="B468" i="1"/>
  <c r="C468" i="1"/>
  <c r="D468" i="1"/>
  <c r="E468" i="1"/>
  <c r="F468" i="1"/>
  <c r="G468" i="1"/>
  <c r="H468" i="1"/>
  <c r="I468" i="1"/>
  <c r="J468" i="1"/>
  <c r="K468" i="1"/>
  <c r="L468" i="1"/>
  <c r="M468" i="1"/>
  <c r="N468" i="1"/>
  <c r="O468" i="1"/>
  <c r="P468" i="1"/>
  <c r="A469" i="1"/>
  <c r="B469" i="1"/>
  <c r="C469" i="1"/>
  <c r="D469" i="1"/>
  <c r="E469" i="1"/>
  <c r="F469" i="1"/>
  <c r="G469" i="1"/>
  <c r="H469" i="1"/>
  <c r="I469" i="1"/>
  <c r="J469" i="1"/>
  <c r="K469" i="1"/>
  <c r="L469" i="1"/>
  <c r="M469" i="1"/>
  <c r="N469" i="1"/>
  <c r="O469" i="1"/>
  <c r="P469" i="1"/>
  <c r="A470" i="1"/>
  <c r="B470" i="1"/>
  <c r="C470" i="1"/>
  <c r="D470" i="1"/>
  <c r="E470" i="1"/>
  <c r="F470" i="1"/>
  <c r="G470" i="1"/>
  <c r="H470" i="1"/>
  <c r="I470" i="1"/>
  <c r="J470" i="1"/>
  <c r="K470" i="1"/>
  <c r="L470" i="1"/>
  <c r="M470" i="1"/>
  <c r="N470" i="1"/>
  <c r="O470" i="1"/>
  <c r="P470" i="1"/>
  <c r="A471" i="1"/>
  <c r="B471" i="1"/>
  <c r="C471" i="1"/>
  <c r="D471" i="1"/>
  <c r="E471" i="1"/>
  <c r="F471" i="1"/>
  <c r="G471" i="1"/>
  <c r="H471" i="1"/>
  <c r="I471" i="1"/>
  <c r="J471" i="1"/>
  <c r="K471" i="1"/>
  <c r="L471" i="1"/>
  <c r="M471" i="1"/>
  <c r="N471" i="1"/>
  <c r="O471" i="1"/>
  <c r="P471" i="1"/>
  <c r="A472" i="1"/>
  <c r="B472" i="1"/>
  <c r="C472" i="1"/>
  <c r="D472" i="1"/>
  <c r="E472" i="1"/>
  <c r="F472" i="1"/>
  <c r="G472" i="1"/>
  <c r="H472" i="1"/>
  <c r="I472" i="1"/>
  <c r="J472" i="1"/>
  <c r="K472" i="1"/>
  <c r="L472" i="1"/>
  <c r="M472" i="1"/>
  <c r="N472" i="1"/>
  <c r="O472" i="1"/>
  <c r="P472" i="1"/>
  <c r="A473" i="1"/>
  <c r="B473" i="1"/>
  <c r="C473" i="1"/>
  <c r="D473" i="1"/>
  <c r="E473" i="1"/>
  <c r="F473" i="1"/>
  <c r="G473" i="1"/>
  <c r="H473" i="1"/>
  <c r="I473" i="1"/>
  <c r="J473" i="1"/>
  <c r="K473" i="1"/>
  <c r="L473" i="1"/>
  <c r="M473" i="1"/>
  <c r="N473" i="1"/>
  <c r="O473" i="1"/>
  <c r="P473" i="1"/>
  <c r="A474" i="1"/>
  <c r="B474" i="1"/>
  <c r="C474" i="1"/>
  <c r="D474" i="1"/>
  <c r="E474" i="1"/>
  <c r="F474" i="1"/>
  <c r="G474" i="1"/>
  <c r="H474" i="1"/>
  <c r="I474" i="1"/>
  <c r="J474" i="1"/>
  <c r="K474" i="1"/>
  <c r="L474" i="1"/>
  <c r="M474" i="1"/>
  <c r="N474" i="1"/>
  <c r="O474" i="1"/>
  <c r="P474" i="1"/>
  <c r="A475" i="1"/>
  <c r="B475" i="1"/>
  <c r="C475" i="1"/>
  <c r="D475" i="1"/>
  <c r="E475" i="1"/>
  <c r="F475" i="1"/>
  <c r="G475" i="1"/>
  <c r="H475" i="1"/>
  <c r="I475" i="1"/>
  <c r="J475" i="1"/>
  <c r="K475" i="1"/>
  <c r="L475" i="1"/>
  <c r="M475" i="1"/>
  <c r="N475" i="1"/>
  <c r="O475" i="1"/>
  <c r="P475" i="1"/>
  <c r="A476" i="1"/>
  <c r="B476" i="1"/>
  <c r="C476" i="1"/>
  <c r="D476" i="1"/>
  <c r="E476" i="1"/>
  <c r="F476" i="1"/>
  <c r="G476" i="1"/>
  <c r="H476" i="1"/>
  <c r="I476" i="1"/>
  <c r="J476" i="1"/>
  <c r="K476" i="1"/>
  <c r="L476" i="1"/>
  <c r="M476" i="1"/>
  <c r="N476" i="1"/>
  <c r="O476" i="1"/>
  <c r="P476" i="1"/>
  <c r="A477" i="1"/>
  <c r="B477" i="1"/>
  <c r="C477" i="1"/>
  <c r="D477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A478" i="1"/>
  <c r="B478" i="1"/>
  <c r="C478" i="1"/>
  <c r="D478" i="1"/>
  <c r="E478" i="1"/>
  <c r="F478" i="1"/>
  <c r="G478" i="1"/>
  <c r="H478" i="1"/>
  <c r="I478" i="1"/>
  <c r="J478" i="1"/>
  <c r="K478" i="1"/>
  <c r="L478" i="1"/>
  <c r="M478" i="1"/>
  <c r="N478" i="1"/>
  <c r="O478" i="1"/>
  <c r="P478" i="1"/>
  <c r="A479" i="1"/>
  <c r="B479" i="1"/>
  <c r="C479" i="1"/>
  <c r="D479" i="1"/>
  <c r="E479" i="1"/>
  <c r="F479" i="1"/>
  <c r="G479" i="1"/>
  <c r="H479" i="1"/>
  <c r="I479" i="1"/>
  <c r="J479" i="1"/>
  <c r="K479" i="1"/>
  <c r="L479" i="1"/>
  <c r="M479" i="1"/>
  <c r="N479" i="1"/>
  <c r="O479" i="1"/>
  <c r="P479" i="1"/>
  <c r="A480" i="1"/>
  <c r="B480" i="1"/>
  <c r="C480" i="1"/>
  <c r="D480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A481" i="1"/>
  <c r="B481" i="1"/>
  <c r="C481" i="1"/>
  <c r="D481" i="1"/>
  <c r="E481" i="1"/>
  <c r="F481" i="1"/>
  <c r="G481" i="1"/>
  <c r="H481" i="1"/>
  <c r="I481" i="1"/>
  <c r="J481" i="1"/>
  <c r="K481" i="1"/>
  <c r="L481" i="1"/>
  <c r="M481" i="1"/>
  <c r="N481" i="1"/>
  <c r="O481" i="1"/>
  <c r="P481" i="1"/>
  <c r="A482" i="1"/>
  <c r="B482" i="1"/>
  <c r="C482" i="1"/>
  <c r="D482" i="1"/>
  <c r="E482" i="1"/>
  <c r="F482" i="1"/>
  <c r="G482" i="1"/>
  <c r="H482" i="1"/>
  <c r="I482" i="1"/>
  <c r="J482" i="1"/>
  <c r="K482" i="1"/>
  <c r="L482" i="1"/>
  <c r="M482" i="1"/>
  <c r="N482" i="1"/>
  <c r="O482" i="1"/>
  <c r="P482" i="1"/>
  <c r="A483" i="1"/>
  <c r="B483" i="1"/>
  <c r="C483" i="1"/>
  <c r="D483" i="1"/>
  <c r="E483" i="1"/>
  <c r="F483" i="1"/>
  <c r="G483" i="1"/>
  <c r="H483" i="1"/>
  <c r="I483" i="1"/>
  <c r="J483" i="1"/>
  <c r="K483" i="1"/>
  <c r="L483" i="1"/>
  <c r="M483" i="1"/>
  <c r="N483" i="1"/>
  <c r="O483" i="1"/>
  <c r="P483" i="1"/>
  <c r="A484" i="1"/>
  <c r="B484" i="1"/>
  <c r="C484" i="1"/>
  <c r="D484" i="1"/>
  <c r="E484" i="1"/>
  <c r="F484" i="1"/>
  <c r="G484" i="1"/>
  <c r="H484" i="1"/>
  <c r="I484" i="1"/>
  <c r="J484" i="1"/>
  <c r="K484" i="1"/>
  <c r="L484" i="1"/>
  <c r="M484" i="1"/>
  <c r="N484" i="1"/>
  <c r="O484" i="1"/>
  <c r="P484" i="1"/>
  <c r="A485" i="1"/>
  <c r="B485" i="1"/>
  <c r="C485" i="1"/>
  <c r="D485" i="1"/>
  <c r="E485" i="1"/>
  <c r="F485" i="1"/>
  <c r="G485" i="1"/>
  <c r="H485" i="1"/>
  <c r="I485" i="1"/>
  <c r="J485" i="1"/>
  <c r="K485" i="1"/>
  <c r="L485" i="1"/>
  <c r="M485" i="1"/>
  <c r="N485" i="1"/>
  <c r="O485" i="1"/>
  <c r="P485" i="1"/>
  <c r="A486" i="1"/>
  <c r="B486" i="1"/>
  <c r="C486" i="1"/>
  <c r="D486" i="1"/>
  <c r="E486" i="1"/>
  <c r="F486" i="1"/>
  <c r="G486" i="1"/>
  <c r="H486" i="1"/>
  <c r="I486" i="1"/>
  <c r="J486" i="1"/>
  <c r="K486" i="1"/>
  <c r="L486" i="1"/>
  <c r="M486" i="1"/>
  <c r="N486" i="1"/>
  <c r="O486" i="1"/>
  <c r="P486" i="1"/>
  <c r="A487" i="1"/>
  <c r="B487" i="1"/>
  <c r="C487" i="1"/>
  <c r="D487" i="1"/>
  <c r="E487" i="1"/>
  <c r="F487" i="1"/>
  <c r="G487" i="1"/>
  <c r="H487" i="1"/>
  <c r="I487" i="1"/>
  <c r="J487" i="1"/>
  <c r="K487" i="1"/>
  <c r="L487" i="1"/>
  <c r="M487" i="1"/>
  <c r="N487" i="1"/>
  <c r="O487" i="1"/>
  <c r="P487" i="1"/>
  <c r="A488" i="1"/>
  <c r="B488" i="1"/>
  <c r="C488" i="1"/>
  <c r="D488" i="1"/>
  <c r="E488" i="1"/>
  <c r="F488" i="1"/>
  <c r="G488" i="1"/>
  <c r="H488" i="1"/>
  <c r="I488" i="1"/>
  <c r="J488" i="1"/>
  <c r="K488" i="1"/>
  <c r="L488" i="1"/>
  <c r="M488" i="1"/>
  <c r="N488" i="1"/>
  <c r="O488" i="1"/>
  <c r="P488" i="1"/>
  <c r="A489" i="1"/>
  <c r="B489" i="1"/>
  <c r="C489" i="1"/>
  <c r="D489" i="1"/>
  <c r="E489" i="1"/>
  <c r="F489" i="1"/>
  <c r="G489" i="1"/>
  <c r="H489" i="1"/>
  <c r="I489" i="1"/>
  <c r="J489" i="1"/>
  <c r="K489" i="1"/>
  <c r="L489" i="1"/>
  <c r="M489" i="1"/>
  <c r="N489" i="1"/>
  <c r="O489" i="1"/>
  <c r="P489" i="1"/>
  <c r="A490" i="1"/>
  <c r="B490" i="1"/>
  <c r="C490" i="1"/>
  <c r="D490" i="1"/>
  <c r="E490" i="1"/>
  <c r="F490" i="1"/>
  <c r="G490" i="1"/>
  <c r="H490" i="1"/>
  <c r="I490" i="1"/>
  <c r="J490" i="1"/>
  <c r="K490" i="1"/>
  <c r="L490" i="1"/>
  <c r="M490" i="1"/>
  <c r="N490" i="1"/>
  <c r="O490" i="1"/>
  <c r="P490" i="1"/>
  <c r="A491" i="1"/>
  <c r="B491" i="1"/>
  <c r="C491" i="1"/>
  <c r="D491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A492" i="1"/>
  <c r="B492" i="1"/>
  <c r="C492" i="1"/>
  <c r="D492" i="1"/>
  <c r="E492" i="1"/>
  <c r="F492" i="1"/>
  <c r="G492" i="1"/>
  <c r="H492" i="1"/>
  <c r="I492" i="1"/>
  <c r="J492" i="1"/>
  <c r="K492" i="1"/>
  <c r="L492" i="1"/>
  <c r="M492" i="1"/>
  <c r="N492" i="1"/>
  <c r="O492" i="1"/>
  <c r="P492" i="1"/>
  <c r="A493" i="1"/>
  <c r="B493" i="1"/>
  <c r="C493" i="1"/>
  <c r="D493" i="1"/>
  <c r="E493" i="1"/>
  <c r="F493" i="1"/>
  <c r="G493" i="1"/>
  <c r="H493" i="1"/>
  <c r="I493" i="1"/>
  <c r="J493" i="1"/>
  <c r="K493" i="1"/>
  <c r="L493" i="1"/>
  <c r="M493" i="1"/>
  <c r="N493" i="1"/>
  <c r="O493" i="1"/>
  <c r="P493" i="1"/>
  <c r="A494" i="1"/>
  <c r="B494" i="1"/>
  <c r="C494" i="1"/>
  <c r="D494" i="1"/>
  <c r="E494" i="1"/>
  <c r="F494" i="1"/>
  <c r="G494" i="1"/>
  <c r="H494" i="1"/>
  <c r="I494" i="1"/>
  <c r="J494" i="1"/>
  <c r="K494" i="1"/>
  <c r="L494" i="1"/>
  <c r="M494" i="1"/>
  <c r="N494" i="1"/>
  <c r="O494" i="1"/>
  <c r="P494" i="1"/>
  <c r="A495" i="1"/>
  <c r="B495" i="1"/>
  <c r="C495" i="1"/>
  <c r="D495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A496" i="1"/>
  <c r="B496" i="1"/>
  <c r="C496" i="1"/>
  <c r="D496" i="1"/>
  <c r="E496" i="1"/>
  <c r="F496" i="1"/>
  <c r="G496" i="1"/>
  <c r="H496" i="1"/>
  <c r="I496" i="1"/>
  <c r="J496" i="1"/>
  <c r="K496" i="1"/>
  <c r="L496" i="1"/>
  <c r="M496" i="1"/>
  <c r="N496" i="1"/>
  <c r="O496" i="1"/>
  <c r="P496" i="1"/>
  <c r="A497" i="1"/>
  <c r="B497" i="1"/>
  <c r="C497" i="1"/>
  <c r="D497" i="1"/>
  <c r="E497" i="1"/>
  <c r="F497" i="1"/>
  <c r="G497" i="1"/>
  <c r="H497" i="1"/>
  <c r="I497" i="1"/>
  <c r="J497" i="1"/>
  <c r="K497" i="1"/>
  <c r="L497" i="1"/>
  <c r="M497" i="1"/>
  <c r="N497" i="1"/>
  <c r="O497" i="1"/>
  <c r="P497" i="1"/>
  <c r="A498" i="1"/>
  <c r="B498" i="1"/>
  <c r="C498" i="1"/>
  <c r="D498" i="1"/>
  <c r="E498" i="1"/>
  <c r="F498" i="1"/>
  <c r="G498" i="1"/>
  <c r="H498" i="1"/>
  <c r="I498" i="1"/>
  <c r="J498" i="1"/>
  <c r="K498" i="1"/>
  <c r="L498" i="1"/>
  <c r="M498" i="1"/>
  <c r="N498" i="1"/>
  <c r="O498" i="1"/>
  <c r="P498" i="1"/>
  <c r="A499" i="1"/>
  <c r="B499" i="1"/>
  <c r="C499" i="1"/>
  <c r="D499" i="1"/>
  <c r="E499" i="1"/>
  <c r="F499" i="1"/>
  <c r="G499" i="1"/>
  <c r="H499" i="1"/>
  <c r="I499" i="1"/>
  <c r="J499" i="1"/>
  <c r="K499" i="1"/>
  <c r="L499" i="1"/>
  <c r="M499" i="1"/>
  <c r="N499" i="1"/>
  <c r="O499" i="1"/>
  <c r="P499" i="1"/>
  <c r="A500" i="1"/>
  <c r="B500" i="1"/>
  <c r="C500" i="1"/>
  <c r="D500" i="1"/>
  <c r="E500" i="1"/>
  <c r="F500" i="1"/>
  <c r="G500" i="1"/>
  <c r="H500" i="1"/>
  <c r="I500" i="1"/>
  <c r="J500" i="1"/>
  <c r="K500" i="1"/>
  <c r="L500" i="1"/>
  <c r="M500" i="1"/>
  <c r="N500" i="1"/>
  <c r="O500" i="1"/>
  <c r="P500" i="1"/>
  <c r="A501" i="1"/>
  <c r="B501" i="1"/>
  <c r="C501" i="1"/>
  <c r="D501" i="1"/>
  <c r="E501" i="1"/>
  <c r="F501" i="1"/>
  <c r="G501" i="1"/>
  <c r="H501" i="1"/>
  <c r="I501" i="1"/>
  <c r="J501" i="1"/>
  <c r="K501" i="1"/>
  <c r="L501" i="1"/>
  <c r="M501" i="1"/>
  <c r="N501" i="1"/>
  <c r="O501" i="1"/>
  <c r="P501" i="1"/>
  <c r="A502" i="1"/>
  <c r="B502" i="1"/>
  <c r="C502" i="1"/>
  <c r="D502" i="1"/>
  <c r="E502" i="1"/>
  <c r="F502" i="1"/>
  <c r="G502" i="1"/>
  <c r="H502" i="1"/>
  <c r="I502" i="1"/>
  <c r="J502" i="1"/>
  <c r="K502" i="1"/>
  <c r="L502" i="1"/>
  <c r="M502" i="1"/>
  <c r="N502" i="1"/>
  <c r="O502" i="1"/>
  <c r="P502" i="1"/>
  <c r="A503" i="1"/>
  <c r="B503" i="1"/>
  <c r="C503" i="1"/>
  <c r="D503" i="1"/>
  <c r="E503" i="1"/>
  <c r="F503" i="1"/>
  <c r="G503" i="1"/>
  <c r="H503" i="1"/>
  <c r="I503" i="1"/>
  <c r="J503" i="1"/>
  <c r="K503" i="1"/>
  <c r="L503" i="1"/>
  <c r="M503" i="1"/>
  <c r="N503" i="1"/>
  <c r="O503" i="1"/>
  <c r="P503" i="1"/>
  <c r="A504" i="1"/>
  <c r="B504" i="1"/>
  <c r="C504" i="1"/>
  <c r="D504" i="1"/>
  <c r="E504" i="1"/>
  <c r="F504" i="1"/>
  <c r="G504" i="1"/>
  <c r="H504" i="1"/>
  <c r="I504" i="1"/>
  <c r="J504" i="1"/>
  <c r="K504" i="1"/>
  <c r="L504" i="1"/>
  <c r="M504" i="1"/>
  <c r="N504" i="1"/>
  <c r="O504" i="1"/>
  <c r="P504" i="1"/>
  <c r="A505" i="1"/>
  <c r="B505" i="1"/>
  <c r="C505" i="1"/>
  <c r="D505" i="1"/>
  <c r="E505" i="1"/>
  <c r="F505" i="1"/>
  <c r="G505" i="1"/>
  <c r="H505" i="1"/>
  <c r="I505" i="1"/>
  <c r="J505" i="1"/>
  <c r="K505" i="1"/>
  <c r="L505" i="1"/>
  <c r="M505" i="1"/>
  <c r="N505" i="1"/>
  <c r="O505" i="1"/>
  <c r="P505" i="1"/>
  <c r="A506" i="1"/>
  <c r="B506" i="1"/>
  <c r="C506" i="1"/>
  <c r="D506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A507" i="1"/>
  <c r="B507" i="1"/>
  <c r="C507" i="1"/>
  <c r="D507" i="1"/>
  <c r="E507" i="1"/>
  <c r="F507" i="1"/>
  <c r="G507" i="1"/>
  <c r="H507" i="1"/>
  <c r="I507" i="1"/>
  <c r="J507" i="1"/>
  <c r="K507" i="1"/>
  <c r="L507" i="1"/>
  <c r="M507" i="1"/>
  <c r="N507" i="1"/>
  <c r="O507" i="1"/>
  <c r="P507" i="1"/>
  <c r="A508" i="1"/>
  <c r="B508" i="1"/>
  <c r="C508" i="1"/>
  <c r="D508" i="1"/>
  <c r="E508" i="1"/>
  <c r="F508" i="1"/>
  <c r="G508" i="1"/>
  <c r="H508" i="1"/>
  <c r="I508" i="1"/>
  <c r="J508" i="1"/>
  <c r="K508" i="1"/>
  <c r="L508" i="1"/>
  <c r="M508" i="1"/>
  <c r="N508" i="1"/>
  <c r="O508" i="1"/>
  <c r="P508" i="1"/>
  <c r="A509" i="1"/>
  <c r="B509" i="1"/>
  <c r="C509" i="1"/>
  <c r="D509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A510" i="1"/>
  <c r="B510" i="1"/>
  <c r="C510" i="1"/>
  <c r="D510" i="1"/>
  <c r="E510" i="1"/>
  <c r="F510" i="1"/>
  <c r="G510" i="1"/>
  <c r="H510" i="1"/>
  <c r="I510" i="1"/>
  <c r="J510" i="1"/>
  <c r="K510" i="1"/>
  <c r="L510" i="1"/>
  <c r="M510" i="1"/>
  <c r="N510" i="1"/>
  <c r="O510" i="1"/>
  <c r="P510" i="1"/>
  <c r="A511" i="1"/>
  <c r="B511" i="1"/>
  <c r="C511" i="1"/>
  <c r="D511" i="1"/>
  <c r="E511" i="1"/>
  <c r="F511" i="1"/>
  <c r="G511" i="1"/>
  <c r="H511" i="1"/>
  <c r="I511" i="1"/>
  <c r="J511" i="1"/>
  <c r="K511" i="1"/>
  <c r="L511" i="1"/>
  <c r="M511" i="1"/>
  <c r="N511" i="1"/>
  <c r="O511" i="1"/>
  <c r="P511" i="1"/>
  <c r="A512" i="1"/>
  <c r="B512" i="1"/>
  <c r="C512" i="1"/>
  <c r="D512" i="1"/>
  <c r="E512" i="1"/>
  <c r="F512" i="1"/>
  <c r="G512" i="1"/>
  <c r="H512" i="1"/>
  <c r="I512" i="1"/>
  <c r="J512" i="1"/>
  <c r="K512" i="1"/>
  <c r="L512" i="1"/>
  <c r="M512" i="1"/>
  <c r="N512" i="1"/>
  <c r="O512" i="1"/>
  <c r="P512" i="1"/>
  <c r="A513" i="1"/>
  <c r="B513" i="1"/>
  <c r="C513" i="1"/>
  <c r="D513" i="1"/>
  <c r="E513" i="1"/>
  <c r="F513" i="1"/>
  <c r="G513" i="1"/>
  <c r="H513" i="1"/>
  <c r="I513" i="1"/>
  <c r="J513" i="1"/>
  <c r="K513" i="1"/>
  <c r="L513" i="1"/>
  <c r="M513" i="1"/>
  <c r="N513" i="1"/>
  <c r="O513" i="1"/>
  <c r="P513" i="1"/>
  <c r="A514" i="1"/>
  <c r="B514" i="1"/>
  <c r="C514" i="1"/>
  <c r="D514" i="1"/>
  <c r="E514" i="1"/>
  <c r="F514" i="1"/>
  <c r="G514" i="1"/>
  <c r="H514" i="1"/>
  <c r="I514" i="1"/>
  <c r="J514" i="1"/>
  <c r="K514" i="1"/>
  <c r="L514" i="1"/>
  <c r="M514" i="1"/>
  <c r="N514" i="1"/>
  <c r="O514" i="1"/>
  <c r="P514" i="1"/>
  <c r="A515" i="1"/>
  <c r="B515" i="1"/>
  <c r="C515" i="1"/>
  <c r="D515" i="1"/>
  <c r="E515" i="1"/>
  <c r="F515" i="1"/>
  <c r="G515" i="1"/>
  <c r="H515" i="1"/>
  <c r="I515" i="1"/>
  <c r="J515" i="1"/>
  <c r="K515" i="1"/>
  <c r="L515" i="1"/>
  <c r="M515" i="1"/>
  <c r="N515" i="1"/>
  <c r="O515" i="1"/>
  <c r="P515" i="1"/>
  <c r="A516" i="1"/>
  <c r="B516" i="1"/>
  <c r="C516" i="1"/>
  <c r="D516" i="1"/>
  <c r="E516" i="1"/>
  <c r="F516" i="1"/>
  <c r="G516" i="1"/>
  <c r="H516" i="1"/>
  <c r="I516" i="1"/>
  <c r="J516" i="1"/>
  <c r="K516" i="1"/>
  <c r="L516" i="1"/>
  <c r="M516" i="1"/>
  <c r="N516" i="1"/>
  <c r="O516" i="1"/>
  <c r="P516" i="1"/>
  <c r="A517" i="1"/>
  <c r="B517" i="1"/>
  <c r="C517" i="1"/>
  <c r="D51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A518" i="1"/>
  <c r="B518" i="1"/>
  <c r="C518" i="1"/>
  <c r="D518" i="1"/>
  <c r="E518" i="1"/>
  <c r="F518" i="1"/>
  <c r="G518" i="1"/>
  <c r="H518" i="1"/>
  <c r="I518" i="1"/>
  <c r="J518" i="1"/>
  <c r="K518" i="1"/>
  <c r="L518" i="1"/>
  <c r="M518" i="1"/>
  <c r="N518" i="1"/>
  <c r="O518" i="1"/>
  <c r="P518" i="1"/>
  <c r="A519" i="1"/>
  <c r="B519" i="1"/>
  <c r="C519" i="1"/>
  <c r="D519" i="1"/>
  <c r="E519" i="1"/>
  <c r="F519" i="1"/>
  <c r="G519" i="1"/>
  <c r="H519" i="1"/>
  <c r="I519" i="1"/>
  <c r="J519" i="1"/>
  <c r="K519" i="1"/>
  <c r="L519" i="1"/>
  <c r="M519" i="1"/>
  <c r="N519" i="1"/>
  <c r="O519" i="1"/>
  <c r="P519" i="1"/>
  <c r="A520" i="1"/>
  <c r="B520" i="1"/>
  <c r="C520" i="1"/>
  <c r="D520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A521" i="1"/>
  <c r="B521" i="1"/>
  <c r="C521" i="1"/>
  <c r="D521" i="1"/>
  <c r="E521" i="1"/>
  <c r="F521" i="1"/>
  <c r="G521" i="1"/>
  <c r="H521" i="1"/>
  <c r="I521" i="1"/>
  <c r="J521" i="1"/>
  <c r="K521" i="1"/>
  <c r="L521" i="1"/>
  <c r="M521" i="1"/>
  <c r="N521" i="1"/>
  <c r="O521" i="1"/>
  <c r="P521" i="1"/>
  <c r="A522" i="1"/>
  <c r="B522" i="1"/>
  <c r="C522" i="1"/>
  <c r="D522" i="1"/>
  <c r="E522" i="1"/>
  <c r="F522" i="1"/>
  <c r="G522" i="1"/>
  <c r="H522" i="1"/>
  <c r="I522" i="1"/>
  <c r="J522" i="1"/>
  <c r="K522" i="1"/>
  <c r="L522" i="1"/>
  <c r="M522" i="1"/>
  <c r="N522" i="1"/>
  <c r="O522" i="1"/>
  <c r="P522" i="1"/>
  <c r="A523" i="1"/>
  <c r="B523" i="1"/>
  <c r="C523" i="1"/>
  <c r="D523" i="1"/>
  <c r="E523" i="1"/>
  <c r="F523" i="1"/>
  <c r="G523" i="1"/>
  <c r="H523" i="1"/>
  <c r="I523" i="1"/>
  <c r="J523" i="1"/>
  <c r="K523" i="1"/>
  <c r="L523" i="1"/>
  <c r="M523" i="1"/>
  <c r="N523" i="1"/>
  <c r="O523" i="1"/>
  <c r="P523" i="1"/>
  <c r="A524" i="1"/>
  <c r="B524" i="1"/>
  <c r="C524" i="1"/>
  <c r="D524" i="1"/>
  <c r="E524" i="1"/>
  <c r="F524" i="1"/>
  <c r="G524" i="1"/>
  <c r="H524" i="1"/>
  <c r="I524" i="1"/>
  <c r="J524" i="1"/>
  <c r="K524" i="1"/>
  <c r="L524" i="1"/>
  <c r="M524" i="1"/>
  <c r="N524" i="1"/>
  <c r="O524" i="1"/>
  <c r="P524" i="1"/>
  <c r="A525" i="1"/>
  <c r="B525" i="1"/>
  <c r="C525" i="1"/>
  <c r="D525" i="1"/>
  <c r="E525" i="1"/>
  <c r="F525" i="1"/>
  <c r="G525" i="1"/>
  <c r="H525" i="1"/>
  <c r="I525" i="1"/>
  <c r="J525" i="1"/>
  <c r="K525" i="1"/>
  <c r="L525" i="1"/>
  <c r="M525" i="1"/>
  <c r="N525" i="1"/>
  <c r="O525" i="1"/>
  <c r="P525" i="1"/>
  <c r="A526" i="1"/>
  <c r="B526" i="1"/>
  <c r="C526" i="1"/>
  <c r="D526" i="1"/>
  <c r="E526" i="1"/>
  <c r="F526" i="1"/>
  <c r="G526" i="1"/>
  <c r="H526" i="1"/>
  <c r="I526" i="1"/>
  <c r="J526" i="1"/>
  <c r="K526" i="1"/>
  <c r="L526" i="1"/>
  <c r="M526" i="1"/>
  <c r="N526" i="1"/>
  <c r="O526" i="1"/>
  <c r="P526" i="1"/>
  <c r="A527" i="1"/>
  <c r="B527" i="1"/>
  <c r="C527" i="1"/>
  <c r="D527" i="1"/>
  <c r="E527" i="1"/>
  <c r="F527" i="1"/>
  <c r="G527" i="1"/>
  <c r="H527" i="1"/>
  <c r="I527" i="1"/>
  <c r="J527" i="1"/>
  <c r="K527" i="1"/>
  <c r="L527" i="1"/>
  <c r="M527" i="1"/>
  <c r="N527" i="1"/>
  <c r="O527" i="1"/>
  <c r="P527" i="1"/>
  <c r="A528" i="1"/>
  <c r="B528" i="1"/>
  <c r="C528" i="1"/>
  <c r="D528" i="1"/>
  <c r="E528" i="1"/>
  <c r="F528" i="1"/>
  <c r="G528" i="1"/>
  <c r="H528" i="1"/>
  <c r="I528" i="1"/>
  <c r="J528" i="1"/>
  <c r="K528" i="1"/>
  <c r="L528" i="1"/>
  <c r="M528" i="1"/>
  <c r="N528" i="1"/>
  <c r="O528" i="1"/>
  <c r="P528" i="1"/>
  <c r="A529" i="1"/>
  <c r="B529" i="1"/>
  <c r="C529" i="1"/>
  <c r="D529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A530" i="1"/>
  <c r="B530" i="1"/>
  <c r="C530" i="1"/>
  <c r="D530" i="1"/>
  <c r="E530" i="1"/>
  <c r="F530" i="1"/>
  <c r="G530" i="1"/>
  <c r="H530" i="1"/>
  <c r="I530" i="1"/>
  <c r="J530" i="1"/>
  <c r="K530" i="1"/>
  <c r="L530" i="1"/>
  <c r="M530" i="1"/>
  <c r="N530" i="1"/>
  <c r="O530" i="1"/>
  <c r="P530" i="1"/>
  <c r="A531" i="1"/>
  <c r="B531" i="1"/>
  <c r="C531" i="1"/>
  <c r="D53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A532" i="1"/>
  <c r="B532" i="1"/>
  <c r="C532" i="1"/>
  <c r="D532" i="1"/>
  <c r="E532" i="1"/>
  <c r="F532" i="1"/>
  <c r="G532" i="1"/>
  <c r="H532" i="1"/>
  <c r="I532" i="1"/>
  <c r="J532" i="1"/>
  <c r="K532" i="1"/>
  <c r="L532" i="1"/>
  <c r="M532" i="1"/>
  <c r="N532" i="1"/>
  <c r="O532" i="1"/>
  <c r="P532" i="1"/>
  <c r="A533" i="1"/>
  <c r="B533" i="1"/>
  <c r="C533" i="1"/>
  <c r="D533" i="1"/>
  <c r="E533" i="1"/>
  <c r="F533" i="1"/>
  <c r="G533" i="1"/>
  <c r="H533" i="1"/>
  <c r="I533" i="1"/>
  <c r="J533" i="1"/>
  <c r="K533" i="1"/>
  <c r="L533" i="1"/>
  <c r="M533" i="1"/>
  <c r="N533" i="1"/>
  <c r="O533" i="1"/>
  <c r="P533" i="1"/>
  <c r="A534" i="1"/>
  <c r="B534" i="1"/>
  <c r="C534" i="1"/>
  <c r="D534" i="1"/>
  <c r="E534" i="1"/>
  <c r="F534" i="1"/>
  <c r="G534" i="1"/>
  <c r="H534" i="1"/>
  <c r="I534" i="1"/>
  <c r="J534" i="1"/>
  <c r="K534" i="1"/>
  <c r="L534" i="1"/>
  <c r="M534" i="1"/>
  <c r="N534" i="1"/>
  <c r="O534" i="1"/>
  <c r="P534" i="1"/>
  <c r="A535" i="1"/>
  <c r="B535" i="1"/>
  <c r="C535" i="1"/>
  <c r="D535" i="1"/>
  <c r="E535" i="1"/>
  <c r="F535" i="1"/>
  <c r="G535" i="1"/>
  <c r="H535" i="1"/>
  <c r="I535" i="1"/>
  <c r="J535" i="1"/>
  <c r="K535" i="1"/>
  <c r="L535" i="1"/>
  <c r="M535" i="1"/>
  <c r="N535" i="1"/>
  <c r="O535" i="1"/>
  <c r="P535" i="1"/>
  <c r="A536" i="1"/>
  <c r="B536" i="1"/>
  <c r="C536" i="1"/>
  <c r="D536" i="1"/>
  <c r="E536" i="1"/>
  <c r="F536" i="1"/>
  <c r="G536" i="1"/>
  <c r="H536" i="1"/>
  <c r="I536" i="1"/>
  <c r="J536" i="1"/>
  <c r="K536" i="1"/>
  <c r="L536" i="1"/>
  <c r="M536" i="1"/>
  <c r="N536" i="1"/>
  <c r="O536" i="1"/>
  <c r="P536" i="1"/>
  <c r="A537" i="1"/>
  <c r="B537" i="1"/>
  <c r="C537" i="1"/>
  <c r="D537" i="1"/>
  <c r="E537" i="1"/>
  <c r="F537" i="1"/>
  <c r="G537" i="1"/>
  <c r="H537" i="1"/>
  <c r="I537" i="1"/>
  <c r="J537" i="1"/>
  <c r="K537" i="1"/>
  <c r="L537" i="1"/>
  <c r="M537" i="1"/>
  <c r="N537" i="1"/>
  <c r="O537" i="1"/>
  <c r="P537" i="1"/>
  <c r="A538" i="1"/>
  <c r="B538" i="1"/>
  <c r="C538" i="1"/>
  <c r="D538" i="1"/>
  <c r="E538" i="1"/>
  <c r="F538" i="1"/>
  <c r="G538" i="1"/>
  <c r="H538" i="1"/>
  <c r="I538" i="1"/>
  <c r="J538" i="1"/>
  <c r="K538" i="1"/>
  <c r="L538" i="1"/>
  <c r="M538" i="1"/>
  <c r="N538" i="1"/>
  <c r="O538" i="1"/>
  <c r="P538" i="1"/>
  <c r="A539" i="1"/>
  <c r="B539" i="1"/>
  <c r="C539" i="1"/>
  <c r="D539" i="1"/>
  <c r="E539" i="1"/>
  <c r="F539" i="1"/>
  <c r="G539" i="1"/>
  <c r="H539" i="1"/>
  <c r="I539" i="1"/>
  <c r="J539" i="1"/>
  <c r="K539" i="1"/>
  <c r="L539" i="1"/>
  <c r="M539" i="1"/>
  <c r="N539" i="1"/>
  <c r="O539" i="1"/>
  <c r="P539" i="1"/>
  <c r="A540" i="1"/>
  <c r="B540" i="1"/>
  <c r="C540" i="1"/>
  <c r="D540" i="1"/>
  <c r="E540" i="1"/>
  <c r="F540" i="1"/>
  <c r="G540" i="1"/>
  <c r="H540" i="1"/>
  <c r="I540" i="1"/>
  <c r="J540" i="1"/>
  <c r="K540" i="1"/>
  <c r="L540" i="1"/>
  <c r="M540" i="1"/>
  <c r="N540" i="1"/>
  <c r="O540" i="1"/>
  <c r="P540" i="1"/>
  <c r="A541" i="1"/>
  <c r="B541" i="1"/>
  <c r="C541" i="1"/>
  <c r="D541" i="1"/>
  <c r="E541" i="1"/>
  <c r="F541" i="1"/>
  <c r="G541" i="1"/>
  <c r="H541" i="1"/>
  <c r="I541" i="1"/>
  <c r="J541" i="1"/>
  <c r="K541" i="1"/>
  <c r="L541" i="1"/>
  <c r="M541" i="1"/>
  <c r="N541" i="1"/>
  <c r="O541" i="1"/>
  <c r="P541" i="1"/>
  <c r="A542" i="1"/>
  <c r="B542" i="1"/>
  <c r="C542" i="1"/>
  <c r="D542" i="1"/>
  <c r="E542" i="1"/>
  <c r="F542" i="1"/>
  <c r="G542" i="1"/>
  <c r="H542" i="1"/>
  <c r="I542" i="1"/>
  <c r="J542" i="1"/>
  <c r="K542" i="1"/>
  <c r="L542" i="1"/>
  <c r="M542" i="1"/>
  <c r="N542" i="1"/>
  <c r="O542" i="1"/>
  <c r="P542" i="1"/>
  <c r="A543" i="1"/>
  <c r="B543" i="1"/>
  <c r="C543" i="1"/>
  <c r="D543" i="1"/>
  <c r="E543" i="1"/>
  <c r="F543" i="1"/>
  <c r="G543" i="1"/>
  <c r="H543" i="1"/>
  <c r="I543" i="1"/>
  <c r="J543" i="1"/>
  <c r="K543" i="1"/>
  <c r="L543" i="1"/>
  <c r="M543" i="1"/>
  <c r="N543" i="1"/>
  <c r="O543" i="1"/>
  <c r="P543" i="1"/>
  <c r="A544" i="1"/>
  <c r="B544" i="1"/>
  <c r="C544" i="1"/>
  <c r="D544" i="1"/>
  <c r="E544" i="1"/>
  <c r="F544" i="1"/>
  <c r="G544" i="1"/>
  <c r="H544" i="1"/>
  <c r="I544" i="1"/>
  <c r="J544" i="1"/>
  <c r="K544" i="1"/>
  <c r="L544" i="1"/>
  <c r="M544" i="1"/>
  <c r="N544" i="1"/>
  <c r="O544" i="1"/>
  <c r="P544" i="1"/>
  <c r="A545" i="1"/>
  <c r="B545" i="1"/>
  <c r="C545" i="1"/>
  <c r="D545" i="1"/>
  <c r="E545" i="1"/>
  <c r="F545" i="1"/>
  <c r="G545" i="1"/>
  <c r="H545" i="1"/>
  <c r="I545" i="1"/>
  <c r="J545" i="1"/>
  <c r="K545" i="1"/>
  <c r="L545" i="1"/>
  <c r="M545" i="1"/>
  <c r="N545" i="1"/>
  <c r="O545" i="1"/>
  <c r="P545" i="1"/>
  <c r="A546" i="1"/>
  <c r="B546" i="1"/>
  <c r="C546" i="1"/>
  <c r="D546" i="1"/>
  <c r="E546" i="1"/>
  <c r="F546" i="1"/>
  <c r="G546" i="1"/>
  <c r="H546" i="1"/>
  <c r="I546" i="1"/>
  <c r="J546" i="1"/>
  <c r="K546" i="1"/>
  <c r="L546" i="1"/>
  <c r="M546" i="1"/>
  <c r="N546" i="1"/>
  <c r="O546" i="1"/>
  <c r="P546" i="1"/>
  <c r="A547" i="1"/>
  <c r="B547" i="1"/>
  <c r="C547" i="1"/>
  <c r="D547" i="1"/>
  <c r="E547" i="1"/>
  <c r="F547" i="1"/>
  <c r="G547" i="1"/>
  <c r="H547" i="1"/>
  <c r="I547" i="1"/>
  <c r="J547" i="1"/>
  <c r="K547" i="1"/>
  <c r="L547" i="1"/>
  <c r="M547" i="1"/>
  <c r="N547" i="1"/>
  <c r="O547" i="1"/>
  <c r="P547" i="1"/>
  <c r="A548" i="1"/>
  <c r="B548" i="1"/>
  <c r="C548" i="1"/>
  <c r="D548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A549" i="1"/>
  <c r="B549" i="1"/>
  <c r="C549" i="1"/>
  <c r="D549" i="1"/>
  <c r="E549" i="1"/>
  <c r="F549" i="1"/>
  <c r="G549" i="1"/>
  <c r="H549" i="1"/>
  <c r="I549" i="1"/>
  <c r="J549" i="1"/>
  <c r="K549" i="1"/>
  <c r="L549" i="1"/>
  <c r="M549" i="1"/>
  <c r="N549" i="1"/>
  <c r="O549" i="1"/>
  <c r="P549" i="1"/>
  <c r="A550" i="1"/>
  <c r="B550" i="1"/>
  <c r="C550" i="1"/>
  <c r="D550" i="1"/>
  <c r="E550" i="1"/>
  <c r="F550" i="1"/>
  <c r="G550" i="1"/>
  <c r="H550" i="1"/>
  <c r="I550" i="1"/>
  <c r="J550" i="1"/>
  <c r="K550" i="1"/>
  <c r="L550" i="1"/>
  <c r="M550" i="1"/>
  <c r="N550" i="1"/>
  <c r="O550" i="1"/>
  <c r="P550" i="1"/>
  <c r="A551" i="1"/>
  <c r="B551" i="1"/>
  <c r="C551" i="1"/>
  <c r="D551" i="1"/>
  <c r="E551" i="1"/>
  <c r="F551" i="1"/>
  <c r="G551" i="1"/>
  <c r="H551" i="1"/>
  <c r="I551" i="1"/>
  <c r="J551" i="1"/>
  <c r="K551" i="1"/>
  <c r="L551" i="1"/>
  <c r="M551" i="1"/>
  <c r="N551" i="1"/>
  <c r="O551" i="1"/>
  <c r="P551" i="1"/>
  <c r="A552" i="1"/>
  <c r="B552" i="1"/>
  <c r="C552" i="1"/>
  <c r="D552" i="1"/>
  <c r="E552" i="1"/>
  <c r="F552" i="1"/>
  <c r="G552" i="1"/>
  <c r="H552" i="1"/>
  <c r="I552" i="1"/>
  <c r="J552" i="1"/>
  <c r="K552" i="1"/>
  <c r="L552" i="1"/>
  <c r="M552" i="1"/>
  <c r="N552" i="1"/>
  <c r="O552" i="1"/>
  <c r="P552" i="1"/>
  <c r="A553" i="1"/>
  <c r="B553" i="1"/>
  <c r="C553" i="1"/>
  <c r="D553" i="1"/>
  <c r="E553" i="1"/>
  <c r="F553" i="1"/>
  <c r="G553" i="1"/>
  <c r="H553" i="1"/>
  <c r="I553" i="1"/>
  <c r="J553" i="1"/>
  <c r="K553" i="1"/>
  <c r="L553" i="1"/>
  <c r="M553" i="1"/>
  <c r="N553" i="1"/>
  <c r="O553" i="1"/>
  <c r="P553" i="1"/>
  <c r="A554" i="1"/>
  <c r="B554" i="1"/>
  <c r="C554" i="1"/>
  <c r="D554" i="1"/>
  <c r="E554" i="1"/>
  <c r="F554" i="1"/>
  <c r="G554" i="1"/>
  <c r="H554" i="1"/>
  <c r="I554" i="1"/>
  <c r="J554" i="1"/>
  <c r="K554" i="1"/>
  <c r="L554" i="1"/>
  <c r="M554" i="1"/>
  <c r="N554" i="1"/>
  <c r="O554" i="1"/>
  <c r="P554" i="1"/>
  <c r="A555" i="1"/>
  <c r="B555" i="1"/>
  <c r="C555" i="1"/>
  <c r="D555" i="1"/>
  <c r="E555" i="1"/>
  <c r="F555" i="1"/>
  <c r="G555" i="1"/>
  <c r="H555" i="1"/>
  <c r="I555" i="1"/>
  <c r="J555" i="1"/>
  <c r="K555" i="1"/>
  <c r="L555" i="1"/>
  <c r="M555" i="1"/>
  <c r="N555" i="1"/>
  <c r="O555" i="1"/>
  <c r="P555" i="1"/>
  <c r="A556" i="1"/>
  <c r="B556" i="1"/>
  <c r="C556" i="1"/>
  <c r="D556" i="1"/>
  <c r="E556" i="1"/>
  <c r="F556" i="1"/>
  <c r="G556" i="1"/>
  <c r="H556" i="1"/>
  <c r="I556" i="1"/>
  <c r="J556" i="1"/>
  <c r="K556" i="1"/>
  <c r="L556" i="1"/>
  <c r="M556" i="1"/>
  <c r="N556" i="1"/>
  <c r="O556" i="1"/>
  <c r="P556" i="1"/>
  <c r="A557" i="1"/>
  <c r="B557" i="1"/>
  <c r="C557" i="1"/>
  <c r="D557" i="1"/>
  <c r="E557" i="1"/>
  <c r="F557" i="1"/>
  <c r="G557" i="1"/>
  <c r="H557" i="1"/>
  <c r="I557" i="1"/>
  <c r="J557" i="1"/>
  <c r="K557" i="1"/>
  <c r="L557" i="1"/>
  <c r="M557" i="1"/>
  <c r="N557" i="1"/>
  <c r="O557" i="1"/>
  <c r="P557" i="1"/>
  <c r="A558" i="1"/>
  <c r="B558" i="1"/>
  <c r="C558" i="1"/>
  <c r="D558" i="1"/>
  <c r="E558" i="1"/>
  <c r="F558" i="1"/>
  <c r="G558" i="1"/>
  <c r="H558" i="1"/>
  <c r="I558" i="1"/>
  <c r="J558" i="1"/>
  <c r="K558" i="1"/>
  <c r="L558" i="1"/>
  <c r="M558" i="1"/>
  <c r="N558" i="1"/>
  <c r="O558" i="1"/>
  <c r="P558" i="1"/>
  <c r="A559" i="1"/>
  <c r="B559" i="1"/>
  <c r="C559" i="1"/>
  <c r="D559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A560" i="1"/>
  <c r="B560" i="1"/>
  <c r="D560" i="1"/>
  <c r="O560" i="1"/>
</calcChain>
</file>

<file path=xl/sharedStrings.xml><?xml version="1.0" encoding="utf-8"?>
<sst xmlns="http://schemas.openxmlformats.org/spreadsheetml/2006/main" count="20" uniqueCount="20">
  <si>
    <t>Art-Nr.</t>
  </si>
  <si>
    <t>Beschreibung</t>
  </si>
  <si>
    <t>CHRN-AR ID</t>
  </si>
  <si>
    <t>Version</t>
  </si>
  <si>
    <t>Artikelübersicht  MDR - Swiss AR</t>
  </si>
  <si>
    <t>Mediq Suisse AG</t>
  </si>
  <si>
    <t>Hersteller
Name</t>
  </si>
  <si>
    <t>Hersteller
Adresse</t>
  </si>
  <si>
    <t>Hersteller
PLZ</t>
  </si>
  <si>
    <t>Hersteller
ORT</t>
  </si>
  <si>
    <t>Importeur
KT-Nr.:</t>
  </si>
  <si>
    <t>Importeur
Name</t>
  </si>
  <si>
    <t>MDR
Risikoklasse</t>
  </si>
  <si>
    <t>Hersteller
KT-Nr.:</t>
  </si>
  <si>
    <t>CH-REP
Name</t>
  </si>
  <si>
    <t>CH-REP
Adresse</t>
  </si>
  <si>
    <t>CH-REP
PLZ</t>
  </si>
  <si>
    <t>CH-REP
ORT</t>
  </si>
  <si>
    <t>CH-REP
KT-Nr.:</t>
  </si>
  <si>
    <t>Drücken Sie den Shortcut [Strg] + [F], um die einfache Suchfunktion zu öffnen.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</si>
</sst>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9"/>
      <name val="Verdana"/>
      <family val="2"/>
    </font>
    <font>
      <sz val="8"/>
      <name val="Arial"/>
      <family val="2"/>
    </font>
    <font>
      <sz val="9"/>
      <color rgb="FFC0C0C0"/>
      <name val="Verdana"/>
      <family val="2"/>
    </font>
    <font>
      <b/>
      <sz val="9"/>
      <name val="Verdana"/>
      <family val="2"/>
    </font>
    <font>
      <b/>
      <sz val="12"/>
      <color theme="1"/>
      <name val="Verdana"/>
      <family val="2"/>
    </font>
    <font>
      <b/>
      <sz val="9"/>
      <color theme="1"/>
      <name val="Verdana"/>
      <family val="2"/>
    </font>
    <font>
      <sz val="9"/>
      <color rgb="FFFF0000"/>
      <name val="Verdana"/>
      <family val="2"/>
    </font>
    <font>
      <b/>
      <sz val="9"/>
      <color theme="7"/>
      <name val="Verdana"/>
      <family val="2"/>
    </font>
    <font>
      <b/>
      <sz val="12"/>
      <color theme="3"/>
      <name val="Verdana"/>
      <family val="2"/>
    </font>
    <font>
      <b/>
      <sz val="14"/>
      <color theme="3"/>
      <name val="Verdana"/>
      <family val="2"/>
    </font>
    <font>
      <sz val="9"/>
      <color theme="1"/>
      <name val="Verdana"/>
      <family val="2"/>
      <scheme val="minor"/>
    </font>
    <font>
      <sz val="8"/>
      <color theme="0"/>
      <name val="Verdana"/>
      <family val="2"/>
      <scheme val="minor"/>
    </font>
    <font>
      <sz val="8"/>
      <name val="Verdana"/>
      <family val="2"/>
    </font>
    <font>
      <sz val="8"/>
      <color rgb="FFC0C0C0"/>
      <name val="Verdana"/>
      <family val="2"/>
    </font>
    <font>
      <sz val="8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0" fontId="10" fillId="0" borderId="0">
      <alignment vertical="top" wrapText="1"/>
    </xf>
  </cellStyleXfs>
  <cellXfs count="27">
    <xf numFmtId="0" fontId="0" fillId="0" borderId="0" xfId="0"/>
    <xf numFmtId="0" fontId="2" fillId="0" borderId="0" xfId="0" applyFont="1"/>
    <xf numFmtId="0" fontId="7" fillId="0" borderId="0" xfId="0" applyFont="1"/>
    <xf numFmtId="14" fontId="7" fillId="0" borderId="0" xfId="0" applyNumberFormat="1" applyFont="1" applyAlignment="1">
      <alignment horizontal="left"/>
    </xf>
    <xf numFmtId="0" fontId="6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8" fillId="0" borderId="0" xfId="0" applyFont="1" applyAlignment="1"/>
    <xf numFmtId="0" fontId="0" fillId="0" borderId="0" xfId="0" applyFont="1" applyAlignment="1">
      <alignment horizontal="left" vertical="top"/>
    </xf>
    <xf numFmtId="0" fontId="6" fillId="0" borderId="0" xfId="0" quotePrefix="1" applyFont="1"/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13" fillId="0" borderId="1" xfId="0" applyFont="1" applyBorder="1"/>
    <xf numFmtId="0" fontId="13" fillId="0" borderId="2" xfId="0" applyFont="1" applyBorder="1"/>
    <xf numFmtId="0" fontId="12" fillId="0" borderId="2" xfId="0" applyFont="1" applyBorder="1"/>
    <xf numFmtId="0" fontId="14" fillId="0" borderId="2" xfId="0" applyFont="1" applyBorder="1"/>
    <xf numFmtId="0" fontId="14" fillId="0" borderId="3" xfId="0" applyFont="1" applyBorder="1"/>
    <xf numFmtId="0" fontId="11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 wrapText="1"/>
    </xf>
    <xf numFmtId="0" fontId="0" fillId="0" borderId="0" xfId="0" quotePrefix="1"/>
    <xf numFmtId="0" fontId="8" fillId="0" borderId="0" xfId="0" applyFont="1" applyAlignment="1"/>
    <xf numFmtId="0" fontId="9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6" fillId="0" borderId="0" xfId="0" applyFont="1" applyAlignment="1"/>
  </cellXfs>
  <cellStyles count="2">
    <cellStyle name="Standard" xfId="0" builtinId="0" customBuiltin="1"/>
    <cellStyle name="Standard 2" xfId="1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D7B50"/>
      <rgbColor rgb="0035C777"/>
      <rgbColor rgb="0058336E"/>
      <rgbColor rgb="008E44BA"/>
      <rgbColor rgb="002EACAE"/>
      <rgbColor rgb="00ACE0E1"/>
      <rgbColor rgb="0088545E"/>
      <rgbColor rgb="00AE2E8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95251</xdr:colOff>
      <xdr:row>4</xdr:row>
      <xdr:rowOff>3040</xdr:rowOff>
    </xdr:from>
    <xdr:to>
      <xdr:col>4</xdr:col>
      <xdr:colOff>3334</xdr:colOff>
      <xdr:row>6</xdr:row>
      <xdr:rowOff>151280</xdr:rowOff>
    </xdr:to>
    <xdr:pic>
      <xdr:nvPicPr>
        <xdr:cNvPr id="2" name="Grafik 1" descr="Download Light Bulb Picture Free Clipart HQ HQ PNG Image ..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68826" y="1803265"/>
          <a:ext cx="485774" cy="529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ediq">
  <a:themeElements>
    <a:clrScheme name="Mediq">
      <a:dk1>
        <a:srgbClr val="000000"/>
      </a:dk1>
      <a:lt1>
        <a:srgbClr val="FFFFFF"/>
      </a:lt1>
      <a:dk2>
        <a:srgbClr val="006983"/>
      </a:dk2>
      <a:lt2>
        <a:srgbClr val="CDC8C4"/>
      </a:lt2>
      <a:accent1>
        <a:srgbClr val="148C78"/>
      </a:accent1>
      <a:accent2>
        <a:srgbClr val="FF7800"/>
      </a:accent2>
      <a:accent3>
        <a:srgbClr val="A3BF2B"/>
      </a:accent3>
      <a:accent4>
        <a:srgbClr val="B42314"/>
      </a:accent4>
      <a:accent5>
        <a:srgbClr val="8A589C"/>
      </a:accent5>
      <a:accent6>
        <a:srgbClr val="9B9189"/>
      </a:accent6>
      <a:hlink>
        <a:srgbClr val="007DC3"/>
      </a:hlink>
      <a:folHlink>
        <a:srgbClr val="73C8D2"/>
      </a:folHlink>
    </a:clrScheme>
    <a:fontScheme name="Mediq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71"/>
  <sheetViews>
    <sheetView tabSelected="1" zoomScale="80" zoomScaleNormal="80" workbookViewId="0">
      <pane xSplit="1" ySplit="10" topLeftCell="B11" activePane="bottomRight" state="frozen"/>
      <selection pane="topRight" activeCell="H1" sqref="H1"/>
      <selection pane="bottomLeft" activeCell="A14" sqref="A14"/>
      <selection pane="bottomRight" activeCell="L14" sqref="L14"/>
    </sheetView>
  </sheetViews>
  <sheetFormatPr baseColWidth="10" defaultRowHeight="11.25" x14ac:dyDescent="0.15"/>
  <cols>
    <col min="1" max="1" width="18.375" style="1" bestFit="1" customWidth="1"/>
    <col min="2" max="2" width="47.25" style="1" bestFit="1" customWidth="1"/>
    <col min="3" max="3" width="16.125" bestFit="1" customWidth="1"/>
    <col min="4" max="4" width="8" style="4" bestFit="1" customWidth="1"/>
    <col min="5" max="5" width="37.125" style="4" bestFit="1" customWidth="1"/>
    <col min="6" max="6" width="29.125" style="4" bestFit="1" customWidth="1"/>
    <col min="7" max="7" width="12.875" style="4" bestFit="1" customWidth="1"/>
    <col min="8" max="8" width="19.875" style="4" bestFit="1" customWidth="1"/>
    <col min="9" max="9" width="8.625" style="4" bestFit="1" customWidth="1"/>
    <col min="10" max="10" width="28.375" style="4" bestFit="1" customWidth="1"/>
    <col min="11" max="11" width="17.375" style="4" bestFit="1" customWidth="1"/>
    <col min="12" max="12" width="7.125" style="4" bestFit="1" customWidth="1"/>
    <col min="13" max="13" width="8.75" style="4" bestFit="1" customWidth="1"/>
    <col min="14" max="14" width="15.25" style="4" bestFit="1" customWidth="1"/>
    <col min="15" max="15" width="8" style="4" bestFit="1" customWidth="1"/>
    <col min="16" max="16" width="12.75" style="4" bestFit="1" customWidth="1"/>
  </cols>
  <sheetData>
    <row r="1" spans="1:16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8" x14ac:dyDescent="0.25">
      <c r="A4" s="23" t="s">
        <v>5</v>
      </c>
      <c r="B4" s="23"/>
      <c r="C4" s="22"/>
      <c r="D4" s="22"/>
    </row>
    <row r="5" spans="1:16" ht="15" x14ac:dyDescent="0.2">
      <c r="A5" s="5"/>
      <c r="B5" s="6"/>
      <c r="C5" s="6"/>
    </row>
    <row r="6" spans="1:16" ht="15" x14ac:dyDescent="0.2">
      <c r="A6" s="24" t="s">
        <v>4</v>
      </c>
      <c r="B6" s="24"/>
      <c r="C6" s="25"/>
      <c r="E6" s="26" t="s">
        <v>19</v>
      </c>
      <c r="F6" s="25"/>
      <c r="G6" s="25"/>
    </row>
    <row r="7" spans="1:16" ht="15" x14ac:dyDescent="0.2">
      <c r="A7" s="8"/>
      <c r="B7" s="8"/>
      <c r="C7" s="2"/>
    </row>
    <row r="8" spans="1:16" x14ac:dyDescent="0.15">
      <c r="A8" s="7" t="s">
        <v>3</v>
      </c>
      <c r="B8" s="3">
        <f ca="1">TODAY()</f>
        <v>45410</v>
      </c>
    </row>
    <row r="9" spans="1:16" x14ac:dyDescent="0.15">
      <c r="G9" s="10"/>
    </row>
    <row r="10" spans="1:16" s="9" customFormat="1" ht="31.5" x14ac:dyDescent="0.15">
      <c r="A10" s="19" t="s">
        <v>0</v>
      </c>
      <c r="B10" s="19" t="s">
        <v>1</v>
      </c>
      <c r="C10" s="20" t="s">
        <v>12</v>
      </c>
      <c r="D10" s="20" t="s">
        <v>13</v>
      </c>
      <c r="E10" s="20" t="s">
        <v>6</v>
      </c>
      <c r="F10" s="20" t="s">
        <v>7</v>
      </c>
      <c r="G10" s="20" t="s">
        <v>8</v>
      </c>
      <c r="H10" s="20" t="s">
        <v>9</v>
      </c>
      <c r="I10" s="20" t="s">
        <v>18</v>
      </c>
      <c r="J10" s="20" t="s">
        <v>14</v>
      </c>
      <c r="K10" s="20" t="s">
        <v>15</v>
      </c>
      <c r="L10" s="20" t="s">
        <v>16</v>
      </c>
      <c r="M10" s="20" t="s">
        <v>17</v>
      </c>
      <c r="N10" s="19" t="s">
        <v>2</v>
      </c>
      <c r="O10" s="20" t="s">
        <v>10</v>
      </c>
      <c r="P10" s="20" t="s">
        <v>11</v>
      </c>
    </row>
    <row r="11" spans="1:16" x14ac:dyDescent="0.15">
      <c r="A11" s="11" t="str">
        <f>"0720.A"</f>
        <v>0720.A</v>
      </c>
      <c r="B11" s="12" t="str">
        <f>"Absorin Comfort Slip Day grün M"</f>
        <v>Absorin Comfort Slip Day grün M</v>
      </c>
      <c r="C11" s="12" t="str">
        <f>"MDR Risikoklasse I"</f>
        <v>MDR Risikoklasse I</v>
      </c>
      <c r="D11" s="12" t="str">
        <f>"KT000099"</f>
        <v>KT000099</v>
      </c>
      <c r="E11" s="12" t="str">
        <f>"MEDIQ MEDECO"</f>
        <v>MEDIQ MEDECO</v>
      </c>
      <c r="F11" s="12" t="str">
        <f>"Brandpuntlaan Zuid 14"</f>
        <v>Brandpuntlaan Zuid 14</v>
      </c>
      <c r="G11" s="12" t="str">
        <f>"NL-2665 NZ"</f>
        <v>NL-2665 NZ</v>
      </c>
      <c r="H11" s="12" t="str">
        <f>"Bleiswijk"</f>
        <v>Bleiswijk</v>
      </c>
      <c r="I11" s="12" t="str">
        <f>"KT001216"</f>
        <v>KT001216</v>
      </c>
      <c r="J11" s="12" t="str">
        <f>"Mediq Suisse AG"</f>
        <v>Mediq Suisse AG</v>
      </c>
      <c r="K11" s="12" t="str">
        <f>"Rosengartenstrasse 25"</f>
        <v>Rosengartenstrasse 25</v>
      </c>
      <c r="L11" s="12" t="str">
        <f>"CH-8608"</f>
        <v>CH-8608</v>
      </c>
      <c r="M11" s="12" t="str">
        <f>"Bubikon"</f>
        <v>Bubikon</v>
      </c>
      <c r="N11" s="12" t="str">
        <f>"CHRN-AR-20001658"</f>
        <v>CHRN-AR-20001658</v>
      </c>
      <c r="O11" s="12" t="str">
        <f>"KT001216"</f>
        <v>KT001216</v>
      </c>
      <c r="P11" s="13" t="str">
        <f>"Mediq Suisse AG"</f>
        <v>Mediq Suisse AG</v>
      </c>
    </row>
    <row r="12" spans="1:16" x14ac:dyDescent="0.15">
      <c r="A12" s="11" t="str">
        <f>"0730.A"</f>
        <v>0730.A</v>
      </c>
      <c r="B12" s="12" t="str">
        <f>"Absorin Comfort Slip Day grün L"</f>
        <v>Absorin Comfort Slip Day grün L</v>
      </c>
      <c r="C12" s="12" t="str">
        <f>"MDR Risikoklasse I"</f>
        <v>MDR Risikoklasse I</v>
      </c>
      <c r="D12" s="12" t="str">
        <f>"KT000099"</f>
        <v>KT000099</v>
      </c>
      <c r="E12" s="12" t="str">
        <f>"MEDIQ MEDECO"</f>
        <v>MEDIQ MEDECO</v>
      </c>
      <c r="F12" s="12" t="str">
        <f>"Brandpuntlaan Zuid 14"</f>
        <v>Brandpuntlaan Zuid 14</v>
      </c>
      <c r="G12" s="12" t="str">
        <f>"NL-2665 NZ"</f>
        <v>NL-2665 NZ</v>
      </c>
      <c r="H12" s="12" t="str">
        <f>"Bleiswijk"</f>
        <v>Bleiswijk</v>
      </c>
      <c r="I12" s="12" t="str">
        <f>"KT001216"</f>
        <v>KT001216</v>
      </c>
      <c r="J12" s="12" t="str">
        <f>"Mediq Suisse AG"</f>
        <v>Mediq Suisse AG</v>
      </c>
      <c r="K12" s="12" t="str">
        <f>"Rosengartenstrasse 25"</f>
        <v>Rosengartenstrasse 25</v>
      </c>
      <c r="L12" s="12" t="str">
        <f>"CH-8608"</f>
        <v>CH-8608</v>
      </c>
      <c r="M12" s="12" t="str">
        <f>"Bubikon"</f>
        <v>Bubikon</v>
      </c>
      <c r="N12" s="12" t="str">
        <f>"CHRN-AR-20001658"</f>
        <v>CHRN-AR-20001658</v>
      </c>
      <c r="O12" s="12" t="str">
        <f>"KT001216"</f>
        <v>KT001216</v>
      </c>
      <c r="P12" s="13" t="str">
        <f>"Mediq Suisse AG"</f>
        <v>Mediq Suisse AG</v>
      </c>
    </row>
    <row r="13" spans="1:16" x14ac:dyDescent="0.15">
      <c r="A13" s="11" t="str">
        <f>"0805.3"</f>
        <v>0805.3</v>
      </c>
      <c r="B13" s="12" t="str">
        <f>"Absorin Slip Day grün XXS"</f>
        <v>Absorin Slip Day grün XXS</v>
      </c>
      <c r="C13" s="12" t="str">
        <f>"MDR Risikoklasse I"</f>
        <v>MDR Risikoklasse I</v>
      </c>
      <c r="D13" s="12" t="str">
        <f>"KT000099"</f>
        <v>KT000099</v>
      </c>
      <c r="E13" s="12" t="str">
        <f>"MEDIQ MEDECO"</f>
        <v>MEDIQ MEDECO</v>
      </c>
      <c r="F13" s="12" t="str">
        <f>"Brandpuntlaan Zuid 14"</f>
        <v>Brandpuntlaan Zuid 14</v>
      </c>
      <c r="G13" s="12" t="str">
        <f>"NL-2665 NZ"</f>
        <v>NL-2665 NZ</v>
      </c>
      <c r="H13" s="12" t="str">
        <f>"Bleiswijk"</f>
        <v>Bleiswijk</v>
      </c>
      <c r="I13" s="12" t="str">
        <f>"KT001216"</f>
        <v>KT001216</v>
      </c>
      <c r="J13" s="12" t="str">
        <f>"Mediq Suisse AG"</f>
        <v>Mediq Suisse AG</v>
      </c>
      <c r="K13" s="12" t="str">
        <f>"Rosengartenstrasse 25"</f>
        <v>Rosengartenstrasse 25</v>
      </c>
      <c r="L13" s="12" t="str">
        <f>"CH-8608"</f>
        <v>CH-8608</v>
      </c>
      <c r="M13" s="12" t="str">
        <f>"Bubikon"</f>
        <v>Bubikon</v>
      </c>
      <c r="N13" s="12" t="str">
        <f>"CHRN-AR-20001658"</f>
        <v>CHRN-AR-20001658</v>
      </c>
      <c r="O13" s="12" t="str">
        <f>"KT001216"</f>
        <v>KT001216</v>
      </c>
      <c r="P13" s="13" t="str">
        <f>"Mediq Suisse AG"</f>
        <v>Mediq Suisse AG</v>
      </c>
    </row>
    <row r="14" spans="1:16" x14ac:dyDescent="0.15">
      <c r="A14" s="11" t="str">
        <f>"0808.A"</f>
        <v>0808.A</v>
      </c>
      <c r="B14" s="12" t="str">
        <f>"Absorin Comfort Slip Day grün XS"</f>
        <v>Absorin Comfort Slip Day grün XS</v>
      </c>
      <c r="C14" s="12" t="str">
        <f>"MDR Risikoklasse I"</f>
        <v>MDR Risikoklasse I</v>
      </c>
      <c r="D14" s="12" t="str">
        <f>"KT000099"</f>
        <v>KT000099</v>
      </c>
      <c r="E14" s="12" t="str">
        <f>"MEDIQ MEDECO"</f>
        <v>MEDIQ MEDECO</v>
      </c>
      <c r="F14" s="12" t="str">
        <f>"Brandpuntlaan Zuid 14"</f>
        <v>Brandpuntlaan Zuid 14</v>
      </c>
      <c r="G14" s="12" t="str">
        <f>"NL-2665 NZ"</f>
        <v>NL-2665 NZ</v>
      </c>
      <c r="H14" s="12" t="str">
        <f>"Bleiswijk"</f>
        <v>Bleiswijk</v>
      </c>
      <c r="I14" s="12" t="str">
        <f>"KT001216"</f>
        <v>KT001216</v>
      </c>
      <c r="J14" s="12" t="str">
        <f>"Mediq Suisse AG"</f>
        <v>Mediq Suisse AG</v>
      </c>
      <c r="K14" s="12" t="str">
        <f>"Rosengartenstrasse 25"</f>
        <v>Rosengartenstrasse 25</v>
      </c>
      <c r="L14" s="12" t="str">
        <f>"CH-8608"</f>
        <v>CH-8608</v>
      </c>
      <c r="M14" s="12" t="str">
        <f>"Bubikon"</f>
        <v>Bubikon</v>
      </c>
      <c r="N14" s="12" t="str">
        <f>"CHRN-AR-20001658"</f>
        <v>CHRN-AR-20001658</v>
      </c>
      <c r="O14" s="12" t="str">
        <f>"KT001216"</f>
        <v>KT001216</v>
      </c>
      <c r="P14" s="13" t="str">
        <f>"Mediq Suisse AG"</f>
        <v>Mediq Suisse AG</v>
      </c>
    </row>
    <row r="15" spans="1:16" x14ac:dyDescent="0.15">
      <c r="A15" s="11" t="str">
        <f>"0815.A"</f>
        <v>0815.A</v>
      </c>
      <c r="B15" s="12" t="str">
        <f>"Absorin Comfort Slip Day/Night violett S"</f>
        <v>Absorin Comfort Slip Day/Night violett S</v>
      </c>
      <c r="C15" s="12" t="str">
        <f>"MDR Risikoklasse I"</f>
        <v>MDR Risikoklasse I</v>
      </c>
      <c r="D15" s="12" t="str">
        <f>"KT000099"</f>
        <v>KT000099</v>
      </c>
      <c r="E15" s="12" t="str">
        <f>"MEDIQ MEDECO"</f>
        <v>MEDIQ MEDECO</v>
      </c>
      <c r="F15" s="12" t="str">
        <f>"Brandpuntlaan Zuid 14"</f>
        <v>Brandpuntlaan Zuid 14</v>
      </c>
      <c r="G15" s="12" t="str">
        <f>"NL-2665 NZ"</f>
        <v>NL-2665 NZ</v>
      </c>
      <c r="H15" s="12" t="str">
        <f>"Bleiswijk"</f>
        <v>Bleiswijk</v>
      </c>
      <c r="I15" s="12" t="str">
        <f>"KT001216"</f>
        <v>KT001216</v>
      </c>
      <c r="J15" s="12" t="str">
        <f>"Mediq Suisse AG"</f>
        <v>Mediq Suisse AG</v>
      </c>
      <c r="K15" s="12" t="str">
        <f>"Rosengartenstrasse 25"</f>
        <v>Rosengartenstrasse 25</v>
      </c>
      <c r="L15" s="12" t="str">
        <f>"CH-8608"</f>
        <v>CH-8608</v>
      </c>
      <c r="M15" s="12" t="str">
        <f>"Bubikon"</f>
        <v>Bubikon</v>
      </c>
      <c r="N15" s="12" t="str">
        <f>"CHRN-AR-20001658"</f>
        <v>CHRN-AR-20001658</v>
      </c>
      <c r="O15" s="12" t="str">
        <f>"KT001216"</f>
        <v>KT001216</v>
      </c>
      <c r="P15" s="13" t="str">
        <f>"Mediq Suisse AG"</f>
        <v>Mediq Suisse AG</v>
      </c>
    </row>
    <row r="16" spans="1:16" x14ac:dyDescent="0.15">
      <c r="A16" s="11" t="str">
        <f>"0822.A"</f>
        <v>0822.A</v>
      </c>
      <c r="B16" s="12" t="str">
        <f>"Absorin Comfort Slip Day/Night violett M"</f>
        <v>Absorin Comfort Slip Day/Night violett M</v>
      </c>
      <c r="C16" s="12" t="str">
        <f>"MDR Risikoklasse I"</f>
        <v>MDR Risikoklasse I</v>
      </c>
      <c r="D16" s="12" t="str">
        <f>"KT000099"</f>
        <v>KT000099</v>
      </c>
      <c r="E16" s="12" t="str">
        <f>"MEDIQ MEDECO"</f>
        <v>MEDIQ MEDECO</v>
      </c>
      <c r="F16" s="12" t="str">
        <f>"Brandpuntlaan Zuid 14"</f>
        <v>Brandpuntlaan Zuid 14</v>
      </c>
      <c r="G16" s="12" t="str">
        <f>"NL-2665 NZ"</f>
        <v>NL-2665 NZ</v>
      </c>
      <c r="H16" s="12" t="str">
        <f>"Bleiswijk"</f>
        <v>Bleiswijk</v>
      </c>
      <c r="I16" s="12" t="str">
        <f>"KT001216"</f>
        <v>KT001216</v>
      </c>
      <c r="J16" s="12" t="str">
        <f>"Mediq Suisse AG"</f>
        <v>Mediq Suisse AG</v>
      </c>
      <c r="K16" s="12" t="str">
        <f>"Rosengartenstrasse 25"</f>
        <v>Rosengartenstrasse 25</v>
      </c>
      <c r="L16" s="12" t="str">
        <f>"CH-8608"</f>
        <v>CH-8608</v>
      </c>
      <c r="M16" s="12" t="str">
        <f>"Bubikon"</f>
        <v>Bubikon</v>
      </c>
      <c r="N16" s="12" t="str">
        <f>"CHRN-AR-20001658"</f>
        <v>CHRN-AR-20001658</v>
      </c>
      <c r="O16" s="12" t="str">
        <f>"KT001216"</f>
        <v>KT001216</v>
      </c>
      <c r="P16" s="13" t="str">
        <f>"Mediq Suisse AG"</f>
        <v>Mediq Suisse AG</v>
      </c>
    </row>
    <row r="17" spans="1:16" x14ac:dyDescent="0.15">
      <c r="A17" s="11" t="str">
        <f>"0832.A"</f>
        <v>0832.A</v>
      </c>
      <c r="B17" s="12" t="str">
        <f>"Absorin Comfort Slip Day/Night violett L"</f>
        <v>Absorin Comfort Slip Day/Night violett L</v>
      </c>
      <c r="C17" s="12" t="str">
        <f>"MDR Risikoklasse I"</f>
        <v>MDR Risikoklasse I</v>
      </c>
      <c r="D17" s="12" t="str">
        <f>"KT000099"</f>
        <v>KT000099</v>
      </c>
      <c r="E17" s="12" t="str">
        <f>"MEDIQ MEDECO"</f>
        <v>MEDIQ MEDECO</v>
      </c>
      <c r="F17" s="12" t="str">
        <f>"Brandpuntlaan Zuid 14"</f>
        <v>Brandpuntlaan Zuid 14</v>
      </c>
      <c r="G17" s="12" t="str">
        <f>"NL-2665 NZ"</f>
        <v>NL-2665 NZ</v>
      </c>
      <c r="H17" s="12" t="str">
        <f>"Bleiswijk"</f>
        <v>Bleiswijk</v>
      </c>
      <c r="I17" s="12" t="str">
        <f>"KT001216"</f>
        <v>KT001216</v>
      </c>
      <c r="J17" s="12" t="str">
        <f>"Mediq Suisse AG"</f>
        <v>Mediq Suisse AG</v>
      </c>
      <c r="K17" s="12" t="str">
        <f>"Rosengartenstrasse 25"</f>
        <v>Rosengartenstrasse 25</v>
      </c>
      <c r="L17" s="12" t="str">
        <f>"CH-8608"</f>
        <v>CH-8608</v>
      </c>
      <c r="M17" s="12" t="str">
        <f>"Bubikon"</f>
        <v>Bubikon</v>
      </c>
      <c r="N17" s="12" t="str">
        <f>"CHRN-AR-20001658"</f>
        <v>CHRN-AR-20001658</v>
      </c>
      <c r="O17" s="12" t="str">
        <f>"KT001216"</f>
        <v>KT001216</v>
      </c>
      <c r="P17" s="13" t="str">
        <f>"Mediq Suisse AG"</f>
        <v>Mediq Suisse AG</v>
      </c>
    </row>
    <row r="18" spans="1:16" x14ac:dyDescent="0.15">
      <c r="A18" s="11" t="str">
        <f>"0840.A"</f>
        <v>0840.A</v>
      </c>
      <c r="B18" s="12" t="str">
        <f>"Absorin Comfort Slip Day grün XL"</f>
        <v>Absorin Comfort Slip Day grün XL</v>
      </c>
      <c r="C18" s="12" t="str">
        <f>"MDR Risikoklasse I"</f>
        <v>MDR Risikoklasse I</v>
      </c>
      <c r="D18" s="12" t="str">
        <f>"KT000099"</f>
        <v>KT000099</v>
      </c>
      <c r="E18" s="12" t="str">
        <f>"MEDIQ MEDECO"</f>
        <v>MEDIQ MEDECO</v>
      </c>
      <c r="F18" s="12" t="str">
        <f>"Brandpuntlaan Zuid 14"</f>
        <v>Brandpuntlaan Zuid 14</v>
      </c>
      <c r="G18" s="12" t="str">
        <f>"NL-2665 NZ"</f>
        <v>NL-2665 NZ</v>
      </c>
      <c r="H18" s="12" t="str">
        <f>"Bleiswijk"</f>
        <v>Bleiswijk</v>
      </c>
      <c r="I18" s="12" t="str">
        <f>"KT001216"</f>
        <v>KT001216</v>
      </c>
      <c r="J18" s="12" t="str">
        <f>"Mediq Suisse AG"</f>
        <v>Mediq Suisse AG</v>
      </c>
      <c r="K18" s="12" t="str">
        <f>"Rosengartenstrasse 25"</f>
        <v>Rosengartenstrasse 25</v>
      </c>
      <c r="L18" s="12" t="str">
        <f>"CH-8608"</f>
        <v>CH-8608</v>
      </c>
      <c r="M18" s="12" t="str">
        <f>"Bubikon"</f>
        <v>Bubikon</v>
      </c>
      <c r="N18" s="12" t="str">
        <f>"CHRN-AR-20001658"</f>
        <v>CHRN-AR-20001658</v>
      </c>
      <c r="O18" s="12" t="str">
        <f>"KT001216"</f>
        <v>KT001216</v>
      </c>
      <c r="P18" s="13" t="str">
        <f>"Mediq Suisse AG"</f>
        <v>Mediq Suisse AG</v>
      </c>
    </row>
    <row r="19" spans="1:16" x14ac:dyDescent="0.15">
      <c r="A19" s="11" t="str">
        <f>"0842.A"</f>
        <v>0842.A</v>
      </c>
      <c r="B19" s="12" t="str">
        <f>"Absorin Comfort Slip Day/Night violett XL"</f>
        <v>Absorin Comfort Slip Day/Night violett XL</v>
      </c>
      <c r="C19" s="12" t="str">
        <f>"MDR Risikoklasse I"</f>
        <v>MDR Risikoklasse I</v>
      </c>
      <c r="D19" s="12" t="str">
        <f>"KT000099"</f>
        <v>KT000099</v>
      </c>
      <c r="E19" s="12" t="str">
        <f>"MEDIQ MEDECO"</f>
        <v>MEDIQ MEDECO</v>
      </c>
      <c r="F19" s="12" t="str">
        <f>"Brandpuntlaan Zuid 14"</f>
        <v>Brandpuntlaan Zuid 14</v>
      </c>
      <c r="G19" s="12" t="str">
        <f>"NL-2665 NZ"</f>
        <v>NL-2665 NZ</v>
      </c>
      <c r="H19" s="12" t="str">
        <f>"Bleiswijk"</f>
        <v>Bleiswijk</v>
      </c>
      <c r="I19" s="12" t="str">
        <f>"KT001216"</f>
        <v>KT001216</v>
      </c>
      <c r="J19" s="12" t="str">
        <f>"Mediq Suisse AG"</f>
        <v>Mediq Suisse AG</v>
      </c>
      <c r="K19" s="12" t="str">
        <f>"Rosengartenstrasse 25"</f>
        <v>Rosengartenstrasse 25</v>
      </c>
      <c r="L19" s="12" t="str">
        <f>"CH-8608"</f>
        <v>CH-8608</v>
      </c>
      <c r="M19" s="12" t="str">
        <f>"Bubikon"</f>
        <v>Bubikon</v>
      </c>
      <c r="N19" s="12" t="str">
        <f>"CHRN-AR-20001658"</f>
        <v>CHRN-AR-20001658</v>
      </c>
      <c r="O19" s="12" t="str">
        <f>"KT001216"</f>
        <v>KT001216</v>
      </c>
      <c r="P19" s="13" t="str">
        <f>"Mediq Suisse AG"</f>
        <v>Mediq Suisse AG</v>
      </c>
    </row>
    <row r="20" spans="1:16" x14ac:dyDescent="0.15">
      <c r="A20" s="11" t="str">
        <f>"0910.A"</f>
        <v>0910.A</v>
      </c>
      <c r="B20" s="12" t="str">
        <f>"Absorin Comfort Slip Night/Heavy orange S"</f>
        <v>Absorin Comfort Slip Night/Heavy orange S</v>
      </c>
      <c r="C20" s="12" t="str">
        <f>"MDR Risikoklasse I"</f>
        <v>MDR Risikoklasse I</v>
      </c>
      <c r="D20" s="12" t="str">
        <f>"KT000099"</f>
        <v>KT000099</v>
      </c>
      <c r="E20" s="12" t="str">
        <f>"MEDIQ MEDECO"</f>
        <v>MEDIQ MEDECO</v>
      </c>
      <c r="F20" s="12" t="str">
        <f>"Brandpuntlaan Zuid 14"</f>
        <v>Brandpuntlaan Zuid 14</v>
      </c>
      <c r="G20" s="12" t="str">
        <f>"NL-2665 NZ"</f>
        <v>NL-2665 NZ</v>
      </c>
      <c r="H20" s="12" t="str">
        <f>"Bleiswijk"</f>
        <v>Bleiswijk</v>
      </c>
      <c r="I20" s="12" t="str">
        <f>"KT001216"</f>
        <v>KT001216</v>
      </c>
      <c r="J20" s="12" t="str">
        <f>"Mediq Suisse AG"</f>
        <v>Mediq Suisse AG</v>
      </c>
      <c r="K20" s="12" t="str">
        <f>"Rosengartenstrasse 25"</f>
        <v>Rosengartenstrasse 25</v>
      </c>
      <c r="L20" s="12" t="str">
        <f>"CH-8608"</f>
        <v>CH-8608</v>
      </c>
      <c r="M20" s="12" t="str">
        <f>"Bubikon"</f>
        <v>Bubikon</v>
      </c>
      <c r="N20" s="12" t="str">
        <f>"CHRN-AR-20001658"</f>
        <v>CHRN-AR-20001658</v>
      </c>
      <c r="O20" s="12" t="str">
        <f>"KT001216"</f>
        <v>KT001216</v>
      </c>
      <c r="P20" s="13" t="str">
        <f>"Mediq Suisse AG"</f>
        <v>Mediq Suisse AG</v>
      </c>
    </row>
    <row r="21" spans="1:16" x14ac:dyDescent="0.15">
      <c r="A21" s="11" t="str">
        <f>"0920.A"</f>
        <v>0920.A</v>
      </c>
      <c r="B21" s="12" t="str">
        <f>"Absorin Comfort Slip Night/Heavy orange M"</f>
        <v>Absorin Comfort Slip Night/Heavy orange M</v>
      </c>
      <c r="C21" s="12" t="str">
        <f>"MDR Risikoklasse I"</f>
        <v>MDR Risikoklasse I</v>
      </c>
      <c r="D21" s="12" t="str">
        <f>"KT000099"</f>
        <v>KT000099</v>
      </c>
      <c r="E21" s="12" t="str">
        <f>"MEDIQ MEDECO"</f>
        <v>MEDIQ MEDECO</v>
      </c>
      <c r="F21" s="12" t="str">
        <f>"Brandpuntlaan Zuid 14"</f>
        <v>Brandpuntlaan Zuid 14</v>
      </c>
      <c r="G21" s="12" t="str">
        <f>"NL-2665 NZ"</f>
        <v>NL-2665 NZ</v>
      </c>
      <c r="H21" s="12" t="str">
        <f>"Bleiswijk"</f>
        <v>Bleiswijk</v>
      </c>
      <c r="I21" s="12" t="str">
        <f>"KT001216"</f>
        <v>KT001216</v>
      </c>
      <c r="J21" s="12" t="str">
        <f>"Mediq Suisse AG"</f>
        <v>Mediq Suisse AG</v>
      </c>
      <c r="K21" s="12" t="str">
        <f>"Rosengartenstrasse 25"</f>
        <v>Rosengartenstrasse 25</v>
      </c>
      <c r="L21" s="12" t="str">
        <f>"CH-8608"</f>
        <v>CH-8608</v>
      </c>
      <c r="M21" s="12" t="str">
        <f>"Bubikon"</f>
        <v>Bubikon</v>
      </c>
      <c r="N21" s="12" t="str">
        <f>"CHRN-AR-20001658"</f>
        <v>CHRN-AR-20001658</v>
      </c>
      <c r="O21" s="12" t="str">
        <f>"KT001216"</f>
        <v>KT001216</v>
      </c>
      <c r="P21" s="13" t="str">
        <f>"Mediq Suisse AG"</f>
        <v>Mediq Suisse AG</v>
      </c>
    </row>
    <row r="22" spans="1:16" x14ac:dyDescent="0.15">
      <c r="A22" s="11" t="str">
        <f>"0930.A"</f>
        <v>0930.A</v>
      </c>
      <c r="B22" s="12" t="str">
        <f>"Absorin Comfort Slip Night/Heavy orange L"</f>
        <v>Absorin Comfort Slip Night/Heavy orange L</v>
      </c>
      <c r="C22" s="12" t="str">
        <f>"MDR Risikoklasse I"</f>
        <v>MDR Risikoklasse I</v>
      </c>
      <c r="D22" s="12" t="str">
        <f>"KT000099"</f>
        <v>KT000099</v>
      </c>
      <c r="E22" s="12" t="str">
        <f>"MEDIQ MEDECO"</f>
        <v>MEDIQ MEDECO</v>
      </c>
      <c r="F22" s="12" t="str">
        <f>"Brandpuntlaan Zuid 14"</f>
        <v>Brandpuntlaan Zuid 14</v>
      </c>
      <c r="G22" s="12" t="str">
        <f>"NL-2665 NZ"</f>
        <v>NL-2665 NZ</v>
      </c>
      <c r="H22" s="12" t="str">
        <f>"Bleiswijk"</f>
        <v>Bleiswijk</v>
      </c>
      <c r="I22" s="12" t="str">
        <f>"KT001216"</f>
        <v>KT001216</v>
      </c>
      <c r="J22" s="12" t="str">
        <f>"Mediq Suisse AG"</f>
        <v>Mediq Suisse AG</v>
      </c>
      <c r="K22" s="12" t="str">
        <f>"Rosengartenstrasse 25"</f>
        <v>Rosengartenstrasse 25</v>
      </c>
      <c r="L22" s="12" t="str">
        <f>"CH-8608"</f>
        <v>CH-8608</v>
      </c>
      <c r="M22" s="12" t="str">
        <f>"Bubikon"</f>
        <v>Bubikon</v>
      </c>
      <c r="N22" s="12" t="str">
        <f>"CHRN-AR-20001658"</f>
        <v>CHRN-AR-20001658</v>
      </c>
      <c r="O22" s="12" t="str">
        <f>"KT001216"</f>
        <v>KT001216</v>
      </c>
      <c r="P22" s="13" t="str">
        <f>"Mediq Suisse AG"</f>
        <v>Mediq Suisse AG</v>
      </c>
    </row>
    <row r="23" spans="1:16" x14ac:dyDescent="0.15">
      <c r="A23" s="11" t="str">
        <f>"0940.A"</f>
        <v>0940.A</v>
      </c>
      <c r="B23" s="12" t="str">
        <f>"Absorin Comfort Slip Night/Heavy orange XL"</f>
        <v>Absorin Comfort Slip Night/Heavy orange XL</v>
      </c>
      <c r="C23" s="12" t="str">
        <f>"MDR Risikoklasse I"</f>
        <v>MDR Risikoklasse I</v>
      </c>
      <c r="D23" s="12" t="str">
        <f>"KT000099"</f>
        <v>KT000099</v>
      </c>
      <c r="E23" s="12" t="str">
        <f>"MEDIQ MEDECO"</f>
        <v>MEDIQ MEDECO</v>
      </c>
      <c r="F23" s="12" t="str">
        <f>"Brandpuntlaan Zuid 14"</f>
        <v>Brandpuntlaan Zuid 14</v>
      </c>
      <c r="G23" s="12" t="str">
        <f>"NL-2665 NZ"</f>
        <v>NL-2665 NZ</v>
      </c>
      <c r="H23" s="12" t="str">
        <f>"Bleiswijk"</f>
        <v>Bleiswijk</v>
      </c>
      <c r="I23" s="12" t="str">
        <f>"KT001216"</f>
        <v>KT001216</v>
      </c>
      <c r="J23" s="12" t="str">
        <f>"Mediq Suisse AG"</f>
        <v>Mediq Suisse AG</v>
      </c>
      <c r="K23" s="12" t="str">
        <f>"Rosengartenstrasse 25"</f>
        <v>Rosengartenstrasse 25</v>
      </c>
      <c r="L23" s="12" t="str">
        <f>"CH-8608"</f>
        <v>CH-8608</v>
      </c>
      <c r="M23" s="12" t="str">
        <f>"Bubikon"</f>
        <v>Bubikon</v>
      </c>
      <c r="N23" s="12" t="str">
        <f>"CHRN-AR-20001658"</f>
        <v>CHRN-AR-20001658</v>
      </c>
      <c r="O23" s="12" t="str">
        <f>"KT001216"</f>
        <v>KT001216</v>
      </c>
      <c r="P23" s="13" t="str">
        <f>"Mediq Suisse AG"</f>
        <v>Mediq Suisse AG</v>
      </c>
    </row>
    <row r="24" spans="1:16" x14ac:dyDescent="0.15">
      <c r="A24" s="11" t="str">
        <f>"1022.A"</f>
        <v>1022.A</v>
      </c>
      <c r="B24" s="12" t="str">
        <f>"Absorin Comfort Slip Night/Ultra grau M"</f>
        <v>Absorin Comfort Slip Night/Ultra grau M</v>
      </c>
      <c r="C24" s="12" t="str">
        <f>"MDR Risikoklasse I"</f>
        <v>MDR Risikoklasse I</v>
      </c>
      <c r="D24" s="12" t="str">
        <f>"KT000099"</f>
        <v>KT000099</v>
      </c>
      <c r="E24" s="12" t="str">
        <f>"MEDIQ MEDECO"</f>
        <v>MEDIQ MEDECO</v>
      </c>
      <c r="F24" s="12" t="str">
        <f>"Brandpuntlaan Zuid 14"</f>
        <v>Brandpuntlaan Zuid 14</v>
      </c>
      <c r="G24" s="12" t="str">
        <f>"NL-2665 NZ"</f>
        <v>NL-2665 NZ</v>
      </c>
      <c r="H24" s="12" t="str">
        <f>"Bleiswijk"</f>
        <v>Bleiswijk</v>
      </c>
      <c r="I24" s="12" t="str">
        <f>"KT001216"</f>
        <v>KT001216</v>
      </c>
      <c r="J24" s="12" t="str">
        <f>"Mediq Suisse AG"</f>
        <v>Mediq Suisse AG</v>
      </c>
      <c r="K24" s="12" t="str">
        <f>"Rosengartenstrasse 25"</f>
        <v>Rosengartenstrasse 25</v>
      </c>
      <c r="L24" s="12" t="str">
        <f>"CH-8608"</f>
        <v>CH-8608</v>
      </c>
      <c r="M24" s="12" t="str">
        <f>"Bubikon"</f>
        <v>Bubikon</v>
      </c>
      <c r="N24" s="12" t="str">
        <f>"CHRN-AR-20001658"</f>
        <v>CHRN-AR-20001658</v>
      </c>
      <c r="O24" s="12" t="str">
        <f>"KT001216"</f>
        <v>KT001216</v>
      </c>
      <c r="P24" s="13" t="str">
        <f>"Mediq Suisse AG"</f>
        <v>Mediq Suisse AG</v>
      </c>
    </row>
    <row r="25" spans="1:16" x14ac:dyDescent="0.15">
      <c r="A25" s="11" t="str">
        <f>"102471"</f>
        <v>102471</v>
      </c>
      <c r="B25" s="12" t="str">
        <f>"Klinion Soft Nitril U-Handschuhe S|indigo"</f>
        <v>Klinion Soft Nitril U-Handschuhe S|indigo</v>
      </c>
      <c r="C25" s="12" t="str">
        <f>"MDR Risikoklasse I"</f>
        <v>MDR Risikoklasse I</v>
      </c>
      <c r="D25" s="12" t="str">
        <f>"KT000099"</f>
        <v>KT000099</v>
      </c>
      <c r="E25" s="12" t="str">
        <f>"MEDIQ MEDECO"</f>
        <v>MEDIQ MEDECO</v>
      </c>
      <c r="F25" s="12" t="str">
        <f>"Brandpuntlaan Zuid 14"</f>
        <v>Brandpuntlaan Zuid 14</v>
      </c>
      <c r="G25" s="12" t="str">
        <f>"NL-2665 NZ"</f>
        <v>NL-2665 NZ</v>
      </c>
      <c r="H25" s="12" t="str">
        <f>"Bleiswijk"</f>
        <v>Bleiswijk</v>
      </c>
      <c r="I25" s="12" t="str">
        <f>"KT001216"</f>
        <v>KT001216</v>
      </c>
      <c r="J25" s="12" t="str">
        <f>"Mediq Suisse AG"</f>
        <v>Mediq Suisse AG</v>
      </c>
      <c r="K25" s="12" t="str">
        <f>"Rosengartenstrasse 25"</f>
        <v>Rosengartenstrasse 25</v>
      </c>
      <c r="L25" s="12" t="str">
        <f>"CH-8608"</f>
        <v>CH-8608</v>
      </c>
      <c r="M25" s="12" t="str">
        <f>"Bubikon"</f>
        <v>Bubikon</v>
      </c>
      <c r="N25" s="12" t="str">
        <f>"CHRN-AR-20001658"</f>
        <v>CHRN-AR-20001658</v>
      </c>
      <c r="O25" s="12" t="str">
        <f>"KT001216"</f>
        <v>KT001216</v>
      </c>
      <c r="P25" s="13" t="str">
        <f>"Mediq Suisse AG"</f>
        <v>Mediq Suisse AG</v>
      </c>
    </row>
    <row r="26" spans="1:16" x14ac:dyDescent="0.15">
      <c r="A26" s="11" t="str">
        <f>"102472"</f>
        <v>102472</v>
      </c>
      <c r="B26" s="12" t="str">
        <f>"Klinion Soft Nitril U-Handschuhe M|indigo"</f>
        <v>Klinion Soft Nitril U-Handschuhe M|indigo</v>
      </c>
      <c r="C26" s="12" t="str">
        <f>"MDR Risikoklasse I"</f>
        <v>MDR Risikoklasse I</v>
      </c>
      <c r="D26" s="12" t="str">
        <f>"KT000099"</f>
        <v>KT000099</v>
      </c>
      <c r="E26" s="12" t="str">
        <f>"MEDIQ MEDECO"</f>
        <v>MEDIQ MEDECO</v>
      </c>
      <c r="F26" s="12" t="str">
        <f>"Brandpuntlaan Zuid 14"</f>
        <v>Brandpuntlaan Zuid 14</v>
      </c>
      <c r="G26" s="12" t="str">
        <f>"NL-2665 NZ"</f>
        <v>NL-2665 NZ</v>
      </c>
      <c r="H26" s="12" t="str">
        <f>"Bleiswijk"</f>
        <v>Bleiswijk</v>
      </c>
      <c r="I26" s="12" t="str">
        <f>"KT001216"</f>
        <v>KT001216</v>
      </c>
      <c r="J26" s="12" t="str">
        <f>"Mediq Suisse AG"</f>
        <v>Mediq Suisse AG</v>
      </c>
      <c r="K26" s="12" t="str">
        <f>"Rosengartenstrasse 25"</f>
        <v>Rosengartenstrasse 25</v>
      </c>
      <c r="L26" s="12" t="str">
        <f>"CH-8608"</f>
        <v>CH-8608</v>
      </c>
      <c r="M26" s="12" t="str">
        <f>"Bubikon"</f>
        <v>Bubikon</v>
      </c>
      <c r="N26" s="12" t="str">
        <f>"CHRN-AR-20001658"</f>
        <v>CHRN-AR-20001658</v>
      </c>
      <c r="O26" s="12" t="str">
        <f>"KT001216"</f>
        <v>KT001216</v>
      </c>
      <c r="P26" s="13" t="str">
        <f>"Mediq Suisse AG"</f>
        <v>Mediq Suisse AG</v>
      </c>
    </row>
    <row r="27" spans="1:16" x14ac:dyDescent="0.15">
      <c r="A27" s="11" t="str">
        <f>"102473"</f>
        <v>102473</v>
      </c>
      <c r="B27" s="12" t="str">
        <f>"Klinion Soft Nitril U-Handschuhe L|indigo"</f>
        <v>Klinion Soft Nitril U-Handschuhe L|indigo</v>
      </c>
      <c r="C27" s="12" t="str">
        <f>"MDR Risikoklasse I"</f>
        <v>MDR Risikoklasse I</v>
      </c>
      <c r="D27" s="12" t="str">
        <f>"KT000099"</f>
        <v>KT000099</v>
      </c>
      <c r="E27" s="12" t="str">
        <f>"MEDIQ MEDECO"</f>
        <v>MEDIQ MEDECO</v>
      </c>
      <c r="F27" s="12" t="str">
        <f>"Brandpuntlaan Zuid 14"</f>
        <v>Brandpuntlaan Zuid 14</v>
      </c>
      <c r="G27" s="12" t="str">
        <f>"NL-2665 NZ"</f>
        <v>NL-2665 NZ</v>
      </c>
      <c r="H27" s="12" t="str">
        <f>"Bleiswijk"</f>
        <v>Bleiswijk</v>
      </c>
      <c r="I27" s="12" t="str">
        <f>"KT001216"</f>
        <v>KT001216</v>
      </c>
      <c r="J27" s="12" t="str">
        <f>"Mediq Suisse AG"</f>
        <v>Mediq Suisse AG</v>
      </c>
      <c r="K27" s="12" t="str">
        <f>"Rosengartenstrasse 25"</f>
        <v>Rosengartenstrasse 25</v>
      </c>
      <c r="L27" s="12" t="str">
        <f>"CH-8608"</f>
        <v>CH-8608</v>
      </c>
      <c r="M27" s="12" t="str">
        <f>"Bubikon"</f>
        <v>Bubikon</v>
      </c>
      <c r="N27" s="12" t="str">
        <f>"CHRN-AR-20001658"</f>
        <v>CHRN-AR-20001658</v>
      </c>
      <c r="O27" s="12" t="str">
        <f>"KT001216"</f>
        <v>KT001216</v>
      </c>
      <c r="P27" s="13" t="str">
        <f>"Mediq Suisse AG"</f>
        <v>Mediq Suisse AG</v>
      </c>
    </row>
    <row r="28" spans="1:16" x14ac:dyDescent="0.15">
      <c r="A28" s="11" t="str">
        <f>"102474"</f>
        <v>102474</v>
      </c>
      <c r="B28" s="12" t="str">
        <f>"Klinion Soft Nitril U-Handschuhe XL|indigo"</f>
        <v>Klinion Soft Nitril U-Handschuhe XL|indigo</v>
      </c>
      <c r="C28" s="12" t="str">
        <f>"MDR Risikoklasse I"</f>
        <v>MDR Risikoklasse I</v>
      </c>
      <c r="D28" s="12" t="str">
        <f>"KT000099"</f>
        <v>KT000099</v>
      </c>
      <c r="E28" s="12" t="str">
        <f>"MEDIQ MEDECO"</f>
        <v>MEDIQ MEDECO</v>
      </c>
      <c r="F28" s="12" t="str">
        <f>"Brandpuntlaan Zuid 14"</f>
        <v>Brandpuntlaan Zuid 14</v>
      </c>
      <c r="G28" s="12" t="str">
        <f>"NL-2665 NZ"</f>
        <v>NL-2665 NZ</v>
      </c>
      <c r="H28" s="12" t="str">
        <f>"Bleiswijk"</f>
        <v>Bleiswijk</v>
      </c>
      <c r="I28" s="12" t="str">
        <f>"KT001216"</f>
        <v>KT001216</v>
      </c>
      <c r="J28" s="12" t="str">
        <f>"Mediq Suisse AG"</f>
        <v>Mediq Suisse AG</v>
      </c>
      <c r="K28" s="12" t="str">
        <f>"Rosengartenstrasse 25"</f>
        <v>Rosengartenstrasse 25</v>
      </c>
      <c r="L28" s="12" t="str">
        <f>"CH-8608"</f>
        <v>CH-8608</v>
      </c>
      <c r="M28" s="12" t="str">
        <f>"Bubikon"</f>
        <v>Bubikon</v>
      </c>
      <c r="N28" s="12" t="str">
        <f>"CHRN-AR-20001658"</f>
        <v>CHRN-AR-20001658</v>
      </c>
      <c r="O28" s="12" t="str">
        <f>"KT001216"</f>
        <v>KT001216</v>
      </c>
      <c r="P28" s="13" t="str">
        <f>"Mediq Suisse AG"</f>
        <v>Mediq Suisse AG</v>
      </c>
    </row>
    <row r="29" spans="1:16" x14ac:dyDescent="0.15">
      <c r="A29" s="11" t="str">
        <f>"102484"</f>
        <v>102484</v>
      </c>
      <c r="B29" s="12" t="str">
        <f>"Klinion Soft Nitril U-Handschuhe Long S|indigo"</f>
        <v>Klinion Soft Nitril U-Handschuhe Long S|indigo</v>
      </c>
      <c r="C29" s="12" t="str">
        <f>"MDR Risikoklasse I"</f>
        <v>MDR Risikoklasse I</v>
      </c>
      <c r="D29" s="12" t="str">
        <f>"KT000099"</f>
        <v>KT000099</v>
      </c>
      <c r="E29" s="12" t="str">
        <f>"MEDIQ MEDECO"</f>
        <v>MEDIQ MEDECO</v>
      </c>
      <c r="F29" s="12" t="str">
        <f>"Brandpuntlaan Zuid 14"</f>
        <v>Brandpuntlaan Zuid 14</v>
      </c>
      <c r="G29" s="12" t="str">
        <f>"NL-2665 NZ"</f>
        <v>NL-2665 NZ</v>
      </c>
      <c r="H29" s="12" t="str">
        <f>"Bleiswijk"</f>
        <v>Bleiswijk</v>
      </c>
      <c r="I29" s="12" t="str">
        <f>"KT001216"</f>
        <v>KT001216</v>
      </c>
      <c r="J29" s="12" t="str">
        <f>"Mediq Suisse AG"</f>
        <v>Mediq Suisse AG</v>
      </c>
      <c r="K29" s="12" t="str">
        <f>"Rosengartenstrasse 25"</f>
        <v>Rosengartenstrasse 25</v>
      </c>
      <c r="L29" s="12" t="str">
        <f>"CH-8608"</f>
        <v>CH-8608</v>
      </c>
      <c r="M29" s="12" t="str">
        <f>"Bubikon"</f>
        <v>Bubikon</v>
      </c>
      <c r="N29" s="12" t="str">
        <f>"CHRN-AR-20001658"</f>
        <v>CHRN-AR-20001658</v>
      </c>
      <c r="O29" s="12" t="str">
        <f>"KT001216"</f>
        <v>KT001216</v>
      </c>
      <c r="P29" s="13" t="str">
        <f>"Mediq Suisse AG"</f>
        <v>Mediq Suisse AG</v>
      </c>
    </row>
    <row r="30" spans="1:16" x14ac:dyDescent="0.15">
      <c r="A30" s="11" t="str">
        <f>"102485"</f>
        <v>102485</v>
      </c>
      <c r="B30" s="12" t="str">
        <f>"Klinion Soft Nitril U-Handschuhe Long M|indigo"</f>
        <v>Klinion Soft Nitril U-Handschuhe Long M|indigo</v>
      </c>
      <c r="C30" s="12" t="str">
        <f>"MDR Risikoklasse I"</f>
        <v>MDR Risikoklasse I</v>
      </c>
      <c r="D30" s="12" t="str">
        <f>"KT000099"</f>
        <v>KT000099</v>
      </c>
      <c r="E30" s="12" t="str">
        <f>"MEDIQ MEDECO"</f>
        <v>MEDIQ MEDECO</v>
      </c>
      <c r="F30" s="12" t="str">
        <f>"Brandpuntlaan Zuid 14"</f>
        <v>Brandpuntlaan Zuid 14</v>
      </c>
      <c r="G30" s="12" t="str">
        <f>"NL-2665 NZ"</f>
        <v>NL-2665 NZ</v>
      </c>
      <c r="H30" s="12" t="str">
        <f>"Bleiswijk"</f>
        <v>Bleiswijk</v>
      </c>
      <c r="I30" s="12" t="str">
        <f>"KT001216"</f>
        <v>KT001216</v>
      </c>
      <c r="J30" s="12" t="str">
        <f>"Mediq Suisse AG"</f>
        <v>Mediq Suisse AG</v>
      </c>
      <c r="K30" s="12" t="str">
        <f>"Rosengartenstrasse 25"</f>
        <v>Rosengartenstrasse 25</v>
      </c>
      <c r="L30" s="12" t="str">
        <f>"CH-8608"</f>
        <v>CH-8608</v>
      </c>
      <c r="M30" s="12" t="str">
        <f>"Bubikon"</f>
        <v>Bubikon</v>
      </c>
      <c r="N30" s="12" t="str">
        <f>"CHRN-AR-20001658"</f>
        <v>CHRN-AR-20001658</v>
      </c>
      <c r="O30" s="12" t="str">
        <f>"KT001216"</f>
        <v>KT001216</v>
      </c>
      <c r="P30" s="13" t="str">
        <f>"Mediq Suisse AG"</f>
        <v>Mediq Suisse AG</v>
      </c>
    </row>
    <row r="31" spans="1:16" x14ac:dyDescent="0.15">
      <c r="A31" s="11" t="str">
        <f>"102486"</f>
        <v>102486</v>
      </c>
      <c r="B31" s="12" t="str">
        <f>"Klinion Soft Nitril U-Handschuhe Long L|indigo"</f>
        <v>Klinion Soft Nitril U-Handschuhe Long L|indigo</v>
      </c>
      <c r="C31" s="12" t="str">
        <f>"MDR Risikoklasse I"</f>
        <v>MDR Risikoklasse I</v>
      </c>
      <c r="D31" s="12" t="str">
        <f>"KT000099"</f>
        <v>KT000099</v>
      </c>
      <c r="E31" s="12" t="str">
        <f>"MEDIQ MEDECO"</f>
        <v>MEDIQ MEDECO</v>
      </c>
      <c r="F31" s="12" t="str">
        <f>"Brandpuntlaan Zuid 14"</f>
        <v>Brandpuntlaan Zuid 14</v>
      </c>
      <c r="G31" s="12" t="str">
        <f>"NL-2665 NZ"</f>
        <v>NL-2665 NZ</v>
      </c>
      <c r="H31" s="12" t="str">
        <f>"Bleiswijk"</f>
        <v>Bleiswijk</v>
      </c>
      <c r="I31" s="12" t="str">
        <f>"KT001216"</f>
        <v>KT001216</v>
      </c>
      <c r="J31" s="12" t="str">
        <f>"Mediq Suisse AG"</f>
        <v>Mediq Suisse AG</v>
      </c>
      <c r="K31" s="12" t="str">
        <f>"Rosengartenstrasse 25"</f>
        <v>Rosengartenstrasse 25</v>
      </c>
      <c r="L31" s="12" t="str">
        <f>"CH-8608"</f>
        <v>CH-8608</v>
      </c>
      <c r="M31" s="12" t="str">
        <f>"Bubikon"</f>
        <v>Bubikon</v>
      </c>
      <c r="N31" s="12" t="str">
        <f>"CHRN-AR-20001658"</f>
        <v>CHRN-AR-20001658</v>
      </c>
      <c r="O31" s="12" t="str">
        <f>"KT001216"</f>
        <v>KT001216</v>
      </c>
      <c r="P31" s="13" t="str">
        <f>"Mediq Suisse AG"</f>
        <v>Mediq Suisse AG</v>
      </c>
    </row>
    <row r="32" spans="1:16" x14ac:dyDescent="0.15">
      <c r="A32" s="11" t="str">
        <f>"102487"</f>
        <v>102487</v>
      </c>
      <c r="B32" s="12" t="str">
        <f>"Klinion Soft Nitril U-Handschuhe Long XL|indigo"</f>
        <v>Klinion Soft Nitril U-Handschuhe Long XL|indigo</v>
      </c>
      <c r="C32" s="12" t="str">
        <f>"MDR Risikoklasse I"</f>
        <v>MDR Risikoklasse I</v>
      </c>
      <c r="D32" s="12" t="str">
        <f>"KT000099"</f>
        <v>KT000099</v>
      </c>
      <c r="E32" s="12" t="str">
        <f>"MEDIQ MEDECO"</f>
        <v>MEDIQ MEDECO</v>
      </c>
      <c r="F32" s="12" t="str">
        <f>"Brandpuntlaan Zuid 14"</f>
        <v>Brandpuntlaan Zuid 14</v>
      </c>
      <c r="G32" s="12" t="str">
        <f>"NL-2665 NZ"</f>
        <v>NL-2665 NZ</v>
      </c>
      <c r="H32" s="12" t="str">
        <f>"Bleiswijk"</f>
        <v>Bleiswijk</v>
      </c>
      <c r="I32" s="12" t="str">
        <f>"KT001216"</f>
        <v>KT001216</v>
      </c>
      <c r="J32" s="12" t="str">
        <f>"Mediq Suisse AG"</f>
        <v>Mediq Suisse AG</v>
      </c>
      <c r="K32" s="12" t="str">
        <f>"Rosengartenstrasse 25"</f>
        <v>Rosengartenstrasse 25</v>
      </c>
      <c r="L32" s="12" t="str">
        <f>"CH-8608"</f>
        <v>CH-8608</v>
      </c>
      <c r="M32" s="12" t="str">
        <f>"Bubikon"</f>
        <v>Bubikon</v>
      </c>
      <c r="N32" s="12" t="str">
        <f>"CHRN-AR-20001658"</f>
        <v>CHRN-AR-20001658</v>
      </c>
      <c r="O32" s="12" t="str">
        <f>"KT001216"</f>
        <v>KT001216</v>
      </c>
      <c r="P32" s="13" t="str">
        <f>"Mediq Suisse AG"</f>
        <v>Mediq Suisse AG</v>
      </c>
    </row>
    <row r="33" spans="1:16" x14ac:dyDescent="0.15">
      <c r="A33" s="11" t="str">
        <f>"102601"</f>
        <v>102601</v>
      </c>
      <c r="B33" s="12" t="str">
        <f>"Klinion Ultra Comfort Nitril U-Handschuhe XS|weiss"</f>
        <v>Klinion Ultra Comfort Nitril U-Handschuhe XS|weiss</v>
      </c>
      <c r="C33" s="12" t="str">
        <f>"MDR Risikoklasse I"</f>
        <v>MDR Risikoklasse I</v>
      </c>
      <c r="D33" s="12" t="str">
        <f>"KT000099"</f>
        <v>KT000099</v>
      </c>
      <c r="E33" s="12" t="str">
        <f>"MEDIQ MEDECO"</f>
        <v>MEDIQ MEDECO</v>
      </c>
      <c r="F33" s="12" t="str">
        <f>"Brandpuntlaan Zuid 14"</f>
        <v>Brandpuntlaan Zuid 14</v>
      </c>
      <c r="G33" s="12" t="str">
        <f>"NL-2665 NZ"</f>
        <v>NL-2665 NZ</v>
      </c>
      <c r="H33" s="12" t="str">
        <f>"Bleiswijk"</f>
        <v>Bleiswijk</v>
      </c>
      <c r="I33" s="12" t="str">
        <f>"KT001216"</f>
        <v>KT001216</v>
      </c>
      <c r="J33" s="12" t="str">
        <f>"Mediq Suisse AG"</f>
        <v>Mediq Suisse AG</v>
      </c>
      <c r="K33" s="12" t="str">
        <f>"Rosengartenstrasse 25"</f>
        <v>Rosengartenstrasse 25</v>
      </c>
      <c r="L33" s="12" t="str">
        <f>"CH-8608"</f>
        <v>CH-8608</v>
      </c>
      <c r="M33" s="12" t="str">
        <f>"Bubikon"</f>
        <v>Bubikon</v>
      </c>
      <c r="N33" s="12" t="str">
        <f>"CHRN-AR-20001658"</f>
        <v>CHRN-AR-20001658</v>
      </c>
      <c r="O33" s="12" t="str">
        <f>"KT001216"</f>
        <v>KT001216</v>
      </c>
      <c r="P33" s="13" t="str">
        <f>"Mediq Suisse AG"</f>
        <v>Mediq Suisse AG</v>
      </c>
    </row>
    <row r="34" spans="1:16" x14ac:dyDescent="0.15">
      <c r="A34" s="11" t="str">
        <f>"102602"</f>
        <v>102602</v>
      </c>
      <c r="B34" s="12" t="str">
        <f>"Klinion Ultra Comfort Nitril U-Handschuhe S|weiss"</f>
        <v>Klinion Ultra Comfort Nitril U-Handschuhe S|weiss</v>
      </c>
      <c r="C34" s="12" t="str">
        <f>"MDR Risikoklasse I"</f>
        <v>MDR Risikoklasse I</v>
      </c>
      <c r="D34" s="12" t="str">
        <f>"KT000099"</f>
        <v>KT000099</v>
      </c>
      <c r="E34" s="12" t="str">
        <f>"MEDIQ MEDECO"</f>
        <v>MEDIQ MEDECO</v>
      </c>
      <c r="F34" s="12" t="str">
        <f>"Brandpuntlaan Zuid 14"</f>
        <v>Brandpuntlaan Zuid 14</v>
      </c>
      <c r="G34" s="12" t="str">
        <f>"NL-2665 NZ"</f>
        <v>NL-2665 NZ</v>
      </c>
      <c r="H34" s="12" t="str">
        <f>"Bleiswijk"</f>
        <v>Bleiswijk</v>
      </c>
      <c r="I34" s="12" t="str">
        <f>"KT001216"</f>
        <v>KT001216</v>
      </c>
      <c r="J34" s="12" t="str">
        <f>"Mediq Suisse AG"</f>
        <v>Mediq Suisse AG</v>
      </c>
      <c r="K34" s="12" t="str">
        <f>"Rosengartenstrasse 25"</f>
        <v>Rosengartenstrasse 25</v>
      </c>
      <c r="L34" s="12" t="str">
        <f>"CH-8608"</f>
        <v>CH-8608</v>
      </c>
      <c r="M34" s="12" t="str">
        <f>"Bubikon"</f>
        <v>Bubikon</v>
      </c>
      <c r="N34" s="12" t="str">
        <f>"CHRN-AR-20001658"</f>
        <v>CHRN-AR-20001658</v>
      </c>
      <c r="O34" s="12" t="str">
        <f>"KT001216"</f>
        <v>KT001216</v>
      </c>
      <c r="P34" s="13" t="str">
        <f>"Mediq Suisse AG"</f>
        <v>Mediq Suisse AG</v>
      </c>
    </row>
    <row r="35" spans="1:16" x14ac:dyDescent="0.15">
      <c r="A35" s="11" t="str">
        <f>"102603"</f>
        <v>102603</v>
      </c>
      <c r="B35" s="12" t="str">
        <f>"Klinion Ultra Comfort Nitril U-Handschuhe M|weiss"</f>
        <v>Klinion Ultra Comfort Nitril U-Handschuhe M|weiss</v>
      </c>
      <c r="C35" s="12" t="str">
        <f>"MDR Risikoklasse I"</f>
        <v>MDR Risikoklasse I</v>
      </c>
      <c r="D35" s="12" t="str">
        <f>"KT000099"</f>
        <v>KT000099</v>
      </c>
      <c r="E35" s="12" t="str">
        <f>"MEDIQ MEDECO"</f>
        <v>MEDIQ MEDECO</v>
      </c>
      <c r="F35" s="12" t="str">
        <f>"Brandpuntlaan Zuid 14"</f>
        <v>Brandpuntlaan Zuid 14</v>
      </c>
      <c r="G35" s="12" t="str">
        <f>"NL-2665 NZ"</f>
        <v>NL-2665 NZ</v>
      </c>
      <c r="H35" s="12" t="str">
        <f>"Bleiswijk"</f>
        <v>Bleiswijk</v>
      </c>
      <c r="I35" s="12" t="str">
        <f>"KT001216"</f>
        <v>KT001216</v>
      </c>
      <c r="J35" s="12" t="str">
        <f>"Mediq Suisse AG"</f>
        <v>Mediq Suisse AG</v>
      </c>
      <c r="K35" s="12" t="str">
        <f>"Rosengartenstrasse 25"</f>
        <v>Rosengartenstrasse 25</v>
      </c>
      <c r="L35" s="12" t="str">
        <f>"CH-8608"</f>
        <v>CH-8608</v>
      </c>
      <c r="M35" s="12" t="str">
        <f>"Bubikon"</f>
        <v>Bubikon</v>
      </c>
      <c r="N35" s="12" t="str">
        <f>"CHRN-AR-20001658"</f>
        <v>CHRN-AR-20001658</v>
      </c>
      <c r="O35" s="12" t="str">
        <f>"KT001216"</f>
        <v>KT001216</v>
      </c>
      <c r="P35" s="13" t="str">
        <f>"Mediq Suisse AG"</f>
        <v>Mediq Suisse AG</v>
      </c>
    </row>
    <row r="36" spans="1:16" x14ac:dyDescent="0.15">
      <c r="A36" s="11" t="str">
        <f>"102604"</f>
        <v>102604</v>
      </c>
      <c r="B36" s="12" t="str">
        <f>"Klinion Ultra Comfort Nitril U-Handschuhe L|weiss"</f>
        <v>Klinion Ultra Comfort Nitril U-Handschuhe L|weiss</v>
      </c>
      <c r="C36" s="12" t="str">
        <f>"MDR Risikoklasse I"</f>
        <v>MDR Risikoklasse I</v>
      </c>
      <c r="D36" s="12" t="str">
        <f>"KT000099"</f>
        <v>KT000099</v>
      </c>
      <c r="E36" s="12" t="str">
        <f>"MEDIQ MEDECO"</f>
        <v>MEDIQ MEDECO</v>
      </c>
      <c r="F36" s="12" t="str">
        <f>"Brandpuntlaan Zuid 14"</f>
        <v>Brandpuntlaan Zuid 14</v>
      </c>
      <c r="G36" s="12" t="str">
        <f>"NL-2665 NZ"</f>
        <v>NL-2665 NZ</v>
      </c>
      <c r="H36" s="12" t="str">
        <f>"Bleiswijk"</f>
        <v>Bleiswijk</v>
      </c>
      <c r="I36" s="12" t="str">
        <f>"KT001216"</f>
        <v>KT001216</v>
      </c>
      <c r="J36" s="12" t="str">
        <f>"Mediq Suisse AG"</f>
        <v>Mediq Suisse AG</v>
      </c>
      <c r="K36" s="12" t="str">
        <f>"Rosengartenstrasse 25"</f>
        <v>Rosengartenstrasse 25</v>
      </c>
      <c r="L36" s="12" t="str">
        <f>"CH-8608"</f>
        <v>CH-8608</v>
      </c>
      <c r="M36" s="12" t="str">
        <f>"Bubikon"</f>
        <v>Bubikon</v>
      </c>
      <c r="N36" s="12" t="str">
        <f>"CHRN-AR-20001658"</f>
        <v>CHRN-AR-20001658</v>
      </c>
      <c r="O36" s="12" t="str">
        <f>"KT001216"</f>
        <v>KT001216</v>
      </c>
      <c r="P36" s="13" t="str">
        <f>"Mediq Suisse AG"</f>
        <v>Mediq Suisse AG</v>
      </c>
    </row>
    <row r="37" spans="1:16" x14ac:dyDescent="0.15">
      <c r="A37" s="11" t="str">
        <f>"102605"</f>
        <v>102605</v>
      </c>
      <c r="B37" s="12" t="str">
        <f>"Klinion Ultra Comfort Nitril U-Handschuhe XL|weiss"</f>
        <v>Klinion Ultra Comfort Nitril U-Handschuhe XL|weiss</v>
      </c>
      <c r="C37" s="12" t="str">
        <f>"MDR Risikoklasse I"</f>
        <v>MDR Risikoklasse I</v>
      </c>
      <c r="D37" s="12" t="str">
        <f>"KT000099"</f>
        <v>KT000099</v>
      </c>
      <c r="E37" s="12" t="str">
        <f>"MEDIQ MEDECO"</f>
        <v>MEDIQ MEDECO</v>
      </c>
      <c r="F37" s="12" t="str">
        <f>"Brandpuntlaan Zuid 14"</f>
        <v>Brandpuntlaan Zuid 14</v>
      </c>
      <c r="G37" s="12" t="str">
        <f>"NL-2665 NZ"</f>
        <v>NL-2665 NZ</v>
      </c>
      <c r="H37" s="12" t="str">
        <f>"Bleiswijk"</f>
        <v>Bleiswijk</v>
      </c>
      <c r="I37" s="12" t="str">
        <f>"KT001216"</f>
        <v>KT001216</v>
      </c>
      <c r="J37" s="12" t="str">
        <f>"Mediq Suisse AG"</f>
        <v>Mediq Suisse AG</v>
      </c>
      <c r="K37" s="12" t="str">
        <f>"Rosengartenstrasse 25"</f>
        <v>Rosengartenstrasse 25</v>
      </c>
      <c r="L37" s="12" t="str">
        <f>"CH-8608"</f>
        <v>CH-8608</v>
      </c>
      <c r="M37" s="12" t="str">
        <f>"Bubikon"</f>
        <v>Bubikon</v>
      </c>
      <c r="N37" s="12" t="str">
        <f>"CHRN-AR-20001658"</f>
        <v>CHRN-AR-20001658</v>
      </c>
      <c r="O37" s="12" t="str">
        <f>"KT001216"</f>
        <v>KT001216</v>
      </c>
      <c r="P37" s="13" t="str">
        <f>"Mediq Suisse AG"</f>
        <v>Mediq Suisse AG</v>
      </c>
    </row>
    <row r="38" spans="1:16" x14ac:dyDescent="0.15">
      <c r="A38" s="11" t="str">
        <f>"102646"</f>
        <v>102646</v>
      </c>
      <c r="B38" s="12" t="str">
        <f>"Klinion Latex U-Handschuhe S|weiss"</f>
        <v>Klinion Latex U-Handschuhe S|weiss</v>
      </c>
      <c r="C38" s="12" t="str">
        <f>"MDR Risikoklasse I"</f>
        <v>MDR Risikoklasse I</v>
      </c>
      <c r="D38" s="12" t="str">
        <f>"KT000099"</f>
        <v>KT000099</v>
      </c>
      <c r="E38" s="12" t="str">
        <f>"MEDIQ MEDECO"</f>
        <v>MEDIQ MEDECO</v>
      </c>
      <c r="F38" s="12" t="str">
        <f>"Brandpuntlaan Zuid 14"</f>
        <v>Brandpuntlaan Zuid 14</v>
      </c>
      <c r="G38" s="12" t="str">
        <f>"NL-2665 NZ"</f>
        <v>NL-2665 NZ</v>
      </c>
      <c r="H38" s="12" t="str">
        <f>"Bleiswijk"</f>
        <v>Bleiswijk</v>
      </c>
      <c r="I38" s="12" t="str">
        <f>"KT001216"</f>
        <v>KT001216</v>
      </c>
      <c r="J38" s="12" t="str">
        <f>"Mediq Suisse AG"</f>
        <v>Mediq Suisse AG</v>
      </c>
      <c r="K38" s="12" t="str">
        <f>"Rosengartenstrasse 25"</f>
        <v>Rosengartenstrasse 25</v>
      </c>
      <c r="L38" s="12" t="str">
        <f>"CH-8608"</f>
        <v>CH-8608</v>
      </c>
      <c r="M38" s="12" t="str">
        <f>"Bubikon"</f>
        <v>Bubikon</v>
      </c>
      <c r="N38" s="12" t="str">
        <f>"CHRN-AR-20001658"</f>
        <v>CHRN-AR-20001658</v>
      </c>
      <c r="O38" s="12" t="str">
        <f>"KT001216"</f>
        <v>KT001216</v>
      </c>
      <c r="P38" s="13" t="str">
        <f>"Mediq Suisse AG"</f>
        <v>Mediq Suisse AG</v>
      </c>
    </row>
    <row r="39" spans="1:16" x14ac:dyDescent="0.15">
      <c r="A39" s="11" t="str">
        <f>"102647"</f>
        <v>102647</v>
      </c>
      <c r="B39" s="12" t="str">
        <f>"Klinion Latex U-Handschuhe M|weiss"</f>
        <v>Klinion Latex U-Handschuhe M|weiss</v>
      </c>
      <c r="C39" s="12" t="str">
        <f>"MDR Risikoklasse I"</f>
        <v>MDR Risikoklasse I</v>
      </c>
      <c r="D39" s="12" t="str">
        <f>"KT000099"</f>
        <v>KT000099</v>
      </c>
      <c r="E39" s="12" t="str">
        <f>"MEDIQ MEDECO"</f>
        <v>MEDIQ MEDECO</v>
      </c>
      <c r="F39" s="12" t="str">
        <f>"Brandpuntlaan Zuid 14"</f>
        <v>Brandpuntlaan Zuid 14</v>
      </c>
      <c r="G39" s="12" t="str">
        <f>"NL-2665 NZ"</f>
        <v>NL-2665 NZ</v>
      </c>
      <c r="H39" s="12" t="str">
        <f>"Bleiswijk"</f>
        <v>Bleiswijk</v>
      </c>
      <c r="I39" s="12" t="str">
        <f>"KT001216"</f>
        <v>KT001216</v>
      </c>
      <c r="J39" s="12" t="str">
        <f>"Mediq Suisse AG"</f>
        <v>Mediq Suisse AG</v>
      </c>
      <c r="K39" s="12" t="str">
        <f>"Rosengartenstrasse 25"</f>
        <v>Rosengartenstrasse 25</v>
      </c>
      <c r="L39" s="12" t="str">
        <f>"CH-8608"</f>
        <v>CH-8608</v>
      </c>
      <c r="M39" s="12" t="str">
        <f>"Bubikon"</f>
        <v>Bubikon</v>
      </c>
      <c r="N39" s="12" t="str">
        <f>"CHRN-AR-20001658"</f>
        <v>CHRN-AR-20001658</v>
      </c>
      <c r="O39" s="12" t="str">
        <f>"KT001216"</f>
        <v>KT001216</v>
      </c>
      <c r="P39" s="13" t="str">
        <f>"Mediq Suisse AG"</f>
        <v>Mediq Suisse AG</v>
      </c>
    </row>
    <row r="40" spans="1:16" x14ac:dyDescent="0.15">
      <c r="A40" s="11" t="str">
        <f>"102648"</f>
        <v>102648</v>
      </c>
      <c r="B40" s="12" t="str">
        <f>"Klinion Latex U-Handschuhe L|weiss"</f>
        <v>Klinion Latex U-Handschuhe L|weiss</v>
      </c>
      <c r="C40" s="12" t="str">
        <f>"MDR Risikoklasse I"</f>
        <v>MDR Risikoklasse I</v>
      </c>
      <c r="D40" s="12" t="str">
        <f>"KT000099"</f>
        <v>KT000099</v>
      </c>
      <c r="E40" s="12" t="str">
        <f>"MEDIQ MEDECO"</f>
        <v>MEDIQ MEDECO</v>
      </c>
      <c r="F40" s="12" t="str">
        <f>"Brandpuntlaan Zuid 14"</f>
        <v>Brandpuntlaan Zuid 14</v>
      </c>
      <c r="G40" s="12" t="str">
        <f>"NL-2665 NZ"</f>
        <v>NL-2665 NZ</v>
      </c>
      <c r="H40" s="12" t="str">
        <f>"Bleiswijk"</f>
        <v>Bleiswijk</v>
      </c>
      <c r="I40" s="12" t="str">
        <f>"KT001216"</f>
        <v>KT001216</v>
      </c>
      <c r="J40" s="12" t="str">
        <f>"Mediq Suisse AG"</f>
        <v>Mediq Suisse AG</v>
      </c>
      <c r="K40" s="12" t="str">
        <f>"Rosengartenstrasse 25"</f>
        <v>Rosengartenstrasse 25</v>
      </c>
      <c r="L40" s="12" t="str">
        <f>"CH-8608"</f>
        <v>CH-8608</v>
      </c>
      <c r="M40" s="12" t="str">
        <f>"Bubikon"</f>
        <v>Bubikon</v>
      </c>
      <c r="N40" s="12" t="str">
        <f>"CHRN-AR-20001658"</f>
        <v>CHRN-AR-20001658</v>
      </c>
      <c r="O40" s="12" t="str">
        <f>"KT001216"</f>
        <v>KT001216</v>
      </c>
      <c r="P40" s="13" t="str">
        <f>"Mediq Suisse AG"</f>
        <v>Mediq Suisse AG</v>
      </c>
    </row>
    <row r="41" spans="1:16" x14ac:dyDescent="0.15">
      <c r="A41" s="11" t="str">
        <f>"102649"</f>
        <v>102649</v>
      </c>
      <c r="B41" s="12" t="str">
        <f>"Klinion Latex U-Handschuhe XL|weiss"</f>
        <v>Klinion Latex U-Handschuhe XL|weiss</v>
      </c>
      <c r="C41" s="12" t="str">
        <f>"MDR Risikoklasse I"</f>
        <v>MDR Risikoklasse I</v>
      </c>
      <c r="D41" s="12" t="str">
        <f>"KT000099"</f>
        <v>KT000099</v>
      </c>
      <c r="E41" s="12" t="str">
        <f>"MEDIQ MEDECO"</f>
        <v>MEDIQ MEDECO</v>
      </c>
      <c r="F41" s="12" t="str">
        <f>"Brandpuntlaan Zuid 14"</f>
        <v>Brandpuntlaan Zuid 14</v>
      </c>
      <c r="G41" s="12" t="str">
        <f>"NL-2665 NZ"</f>
        <v>NL-2665 NZ</v>
      </c>
      <c r="H41" s="12" t="str">
        <f>"Bleiswijk"</f>
        <v>Bleiswijk</v>
      </c>
      <c r="I41" s="12" t="str">
        <f>"KT001216"</f>
        <v>KT001216</v>
      </c>
      <c r="J41" s="12" t="str">
        <f>"Mediq Suisse AG"</f>
        <v>Mediq Suisse AG</v>
      </c>
      <c r="K41" s="12" t="str">
        <f>"Rosengartenstrasse 25"</f>
        <v>Rosengartenstrasse 25</v>
      </c>
      <c r="L41" s="12" t="str">
        <f>"CH-8608"</f>
        <v>CH-8608</v>
      </c>
      <c r="M41" s="12" t="str">
        <f>"Bubikon"</f>
        <v>Bubikon</v>
      </c>
      <c r="N41" s="12" t="str">
        <f>"CHRN-AR-20001658"</f>
        <v>CHRN-AR-20001658</v>
      </c>
      <c r="O41" s="12" t="str">
        <f>"KT001216"</f>
        <v>KT001216</v>
      </c>
      <c r="P41" s="13" t="str">
        <f>"Mediq Suisse AG"</f>
        <v>Mediq Suisse AG</v>
      </c>
    </row>
    <row r="42" spans="1:16" x14ac:dyDescent="0.15">
      <c r="A42" s="11" t="str">
        <f>"1032.A"</f>
        <v>1032.A</v>
      </c>
      <c r="B42" s="12" t="str">
        <f>"Absorin Comfort Slip Night/Ultra grau L"</f>
        <v>Absorin Comfort Slip Night/Ultra grau L</v>
      </c>
      <c r="C42" s="12" t="str">
        <f>"MDR Risikoklasse I"</f>
        <v>MDR Risikoklasse I</v>
      </c>
      <c r="D42" s="12" t="str">
        <f>"KT000099"</f>
        <v>KT000099</v>
      </c>
      <c r="E42" s="12" t="str">
        <f>"MEDIQ MEDECO"</f>
        <v>MEDIQ MEDECO</v>
      </c>
      <c r="F42" s="12" t="str">
        <f>"Brandpuntlaan Zuid 14"</f>
        <v>Brandpuntlaan Zuid 14</v>
      </c>
      <c r="G42" s="12" t="str">
        <f>"NL-2665 NZ"</f>
        <v>NL-2665 NZ</v>
      </c>
      <c r="H42" s="12" t="str">
        <f>"Bleiswijk"</f>
        <v>Bleiswijk</v>
      </c>
      <c r="I42" s="12" t="str">
        <f>"KT001216"</f>
        <v>KT001216</v>
      </c>
      <c r="J42" s="12" t="str">
        <f>"Mediq Suisse AG"</f>
        <v>Mediq Suisse AG</v>
      </c>
      <c r="K42" s="12" t="str">
        <f>"Rosengartenstrasse 25"</f>
        <v>Rosengartenstrasse 25</v>
      </c>
      <c r="L42" s="12" t="str">
        <f>"CH-8608"</f>
        <v>CH-8608</v>
      </c>
      <c r="M42" s="12" t="str">
        <f>"Bubikon"</f>
        <v>Bubikon</v>
      </c>
      <c r="N42" s="12" t="str">
        <f>"CHRN-AR-20001658"</f>
        <v>CHRN-AR-20001658</v>
      </c>
      <c r="O42" s="12" t="str">
        <f>"KT001216"</f>
        <v>KT001216</v>
      </c>
      <c r="P42" s="13" t="str">
        <f>"Mediq Suisse AG"</f>
        <v>Mediq Suisse AG</v>
      </c>
    </row>
    <row r="43" spans="1:16" x14ac:dyDescent="0.15">
      <c r="A43" s="11" t="str">
        <f>"103521"</f>
        <v>103521</v>
      </c>
      <c r="B43" s="12" t="str">
        <f>"Klinion Ultra Comfort Nitril U-Handschuhe S|blau"</f>
        <v>Klinion Ultra Comfort Nitril U-Handschuhe S|blau</v>
      </c>
      <c r="C43" s="12" t="str">
        <f>"MDR Risikoklasse I"</f>
        <v>MDR Risikoklasse I</v>
      </c>
      <c r="D43" s="12" t="str">
        <f>"KT000099"</f>
        <v>KT000099</v>
      </c>
      <c r="E43" s="12" t="str">
        <f>"MEDIQ MEDECO"</f>
        <v>MEDIQ MEDECO</v>
      </c>
      <c r="F43" s="12" t="str">
        <f>"Brandpuntlaan Zuid 14"</f>
        <v>Brandpuntlaan Zuid 14</v>
      </c>
      <c r="G43" s="12" t="str">
        <f>"NL-2665 NZ"</f>
        <v>NL-2665 NZ</v>
      </c>
      <c r="H43" s="12" t="str">
        <f>"Bleiswijk"</f>
        <v>Bleiswijk</v>
      </c>
      <c r="I43" s="12" t="str">
        <f>"KT001216"</f>
        <v>KT001216</v>
      </c>
      <c r="J43" s="12" t="str">
        <f>"Mediq Suisse AG"</f>
        <v>Mediq Suisse AG</v>
      </c>
      <c r="K43" s="12" t="str">
        <f>"Rosengartenstrasse 25"</f>
        <v>Rosengartenstrasse 25</v>
      </c>
      <c r="L43" s="12" t="str">
        <f>"CH-8608"</f>
        <v>CH-8608</v>
      </c>
      <c r="M43" s="12" t="str">
        <f>"Bubikon"</f>
        <v>Bubikon</v>
      </c>
      <c r="N43" s="12" t="str">
        <f>"CHRN-AR-20001658"</f>
        <v>CHRN-AR-20001658</v>
      </c>
      <c r="O43" s="12" t="str">
        <f>"KT001216"</f>
        <v>KT001216</v>
      </c>
      <c r="P43" s="13" t="str">
        <f>"Mediq Suisse AG"</f>
        <v>Mediq Suisse AG</v>
      </c>
    </row>
    <row r="44" spans="1:16" x14ac:dyDescent="0.15">
      <c r="A44" s="11" t="str">
        <f>"103522"</f>
        <v>103522</v>
      </c>
      <c r="B44" s="12" t="str">
        <f>"Klinion Ultra Comfort Nitril U-Handschuhe M|blau"</f>
        <v>Klinion Ultra Comfort Nitril U-Handschuhe M|blau</v>
      </c>
      <c r="C44" s="12" t="str">
        <f>"MDR Risikoklasse I"</f>
        <v>MDR Risikoklasse I</v>
      </c>
      <c r="D44" s="12" t="str">
        <f>"KT000099"</f>
        <v>KT000099</v>
      </c>
      <c r="E44" s="12" t="str">
        <f>"MEDIQ MEDECO"</f>
        <v>MEDIQ MEDECO</v>
      </c>
      <c r="F44" s="12" t="str">
        <f>"Brandpuntlaan Zuid 14"</f>
        <v>Brandpuntlaan Zuid 14</v>
      </c>
      <c r="G44" s="12" t="str">
        <f>"NL-2665 NZ"</f>
        <v>NL-2665 NZ</v>
      </c>
      <c r="H44" s="12" t="str">
        <f>"Bleiswijk"</f>
        <v>Bleiswijk</v>
      </c>
      <c r="I44" s="12" t="str">
        <f>"KT001216"</f>
        <v>KT001216</v>
      </c>
      <c r="J44" s="12" t="str">
        <f>"Mediq Suisse AG"</f>
        <v>Mediq Suisse AG</v>
      </c>
      <c r="K44" s="12" t="str">
        <f>"Rosengartenstrasse 25"</f>
        <v>Rosengartenstrasse 25</v>
      </c>
      <c r="L44" s="12" t="str">
        <f>"CH-8608"</f>
        <v>CH-8608</v>
      </c>
      <c r="M44" s="12" t="str">
        <f>"Bubikon"</f>
        <v>Bubikon</v>
      </c>
      <c r="N44" s="12" t="str">
        <f>"CHRN-AR-20001658"</f>
        <v>CHRN-AR-20001658</v>
      </c>
      <c r="O44" s="12" t="str">
        <f>"KT001216"</f>
        <v>KT001216</v>
      </c>
      <c r="P44" s="13" t="str">
        <f>"Mediq Suisse AG"</f>
        <v>Mediq Suisse AG</v>
      </c>
    </row>
    <row r="45" spans="1:16" x14ac:dyDescent="0.15">
      <c r="A45" s="11" t="str">
        <f>"103523"</f>
        <v>103523</v>
      </c>
      <c r="B45" s="12" t="str">
        <f>"Klinion Ultra Comfort Nitril U-Handschuhe L|blau"</f>
        <v>Klinion Ultra Comfort Nitril U-Handschuhe L|blau</v>
      </c>
      <c r="C45" s="12" t="str">
        <f>"MDR Risikoklasse I"</f>
        <v>MDR Risikoklasse I</v>
      </c>
      <c r="D45" s="12" t="str">
        <f>"KT000099"</f>
        <v>KT000099</v>
      </c>
      <c r="E45" s="12" t="str">
        <f>"MEDIQ MEDECO"</f>
        <v>MEDIQ MEDECO</v>
      </c>
      <c r="F45" s="12" t="str">
        <f>"Brandpuntlaan Zuid 14"</f>
        <v>Brandpuntlaan Zuid 14</v>
      </c>
      <c r="G45" s="12" t="str">
        <f>"NL-2665 NZ"</f>
        <v>NL-2665 NZ</v>
      </c>
      <c r="H45" s="12" t="str">
        <f>"Bleiswijk"</f>
        <v>Bleiswijk</v>
      </c>
      <c r="I45" s="12" t="str">
        <f>"KT001216"</f>
        <v>KT001216</v>
      </c>
      <c r="J45" s="12" t="str">
        <f>"Mediq Suisse AG"</f>
        <v>Mediq Suisse AG</v>
      </c>
      <c r="K45" s="12" t="str">
        <f>"Rosengartenstrasse 25"</f>
        <v>Rosengartenstrasse 25</v>
      </c>
      <c r="L45" s="12" t="str">
        <f>"CH-8608"</f>
        <v>CH-8608</v>
      </c>
      <c r="M45" s="12" t="str">
        <f>"Bubikon"</f>
        <v>Bubikon</v>
      </c>
      <c r="N45" s="12" t="str">
        <f>"CHRN-AR-20001658"</f>
        <v>CHRN-AR-20001658</v>
      </c>
      <c r="O45" s="12" t="str">
        <f>"KT001216"</f>
        <v>KT001216</v>
      </c>
      <c r="P45" s="13" t="str">
        <f>"Mediq Suisse AG"</f>
        <v>Mediq Suisse AG</v>
      </c>
    </row>
    <row r="46" spans="1:16" x14ac:dyDescent="0.15">
      <c r="A46" s="11" t="str">
        <f>"103524"</f>
        <v>103524</v>
      </c>
      <c r="B46" s="12" t="str">
        <f>"Klinion Ultra Comfort Nitril U-Handschuhe XL|blau"</f>
        <v>Klinion Ultra Comfort Nitril U-Handschuhe XL|blau</v>
      </c>
      <c r="C46" s="12" t="str">
        <f>"MDR Risikoklasse I"</f>
        <v>MDR Risikoklasse I</v>
      </c>
      <c r="D46" s="12" t="str">
        <f>"KT000099"</f>
        <v>KT000099</v>
      </c>
      <c r="E46" s="12" t="str">
        <f>"MEDIQ MEDECO"</f>
        <v>MEDIQ MEDECO</v>
      </c>
      <c r="F46" s="12" t="str">
        <f>"Brandpuntlaan Zuid 14"</f>
        <v>Brandpuntlaan Zuid 14</v>
      </c>
      <c r="G46" s="12" t="str">
        <f>"NL-2665 NZ"</f>
        <v>NL-2665 NZ</v>
      </c>
      <c r="H46" s="12" t="str">
        <f>"Bleiswijk"</f>
        <v>Bleiswijk</v>
      </c>
      <c r="I46" s="12" t="str">
        <f>"KT001216"</f>
        <v>KT001216</v>
      </c>
      <c r="J46" s="12" t="str">
        <f>"Mediq Suisse AG"</f>
        <v>Mediq Suisse AG</v>
      </c>
      <c r="K46" s="12" t="str">
        <f>"Rosengartenstrasse 25"</f>
        <v>Rosengartenstrasse 25</v>
      </c>
      <c r="L46" s="12" t="str">
        <f>"CH-8608"</f>
        <v>CH-8608</v>
      </c>
      <c r="M46" s="12" t="str">
        <f>"Bubikon"</f>
        <v>Bubikon</v>
      </c>
      <c r="N46" s="12" t="str">
        <f>"CHRN-AR-20001658"</f>
        <v>CHRN-AR-20001658</v>
      </c>
      <c r="O46" s="12" t="str">
        <f>"KT001216"</f>
        <v>KT001216</v>
      </c>
      <c r="P46" s="13" t="str">
        <f>"Mediq Suisse AG"</f>
        <v>Mediq Suisse AG</v>
      </c>
    </row>
    <row r="47" spans="1:16" x14ac:dyDescent="0.15">
      <c r="A47" s="11" t="str">
        <f>"1042.A"</f>
        <v>1042.A</v>
      </c>
      <c r="B47" s="12" t="str">
        <f>"Absorin Comfort Slip Night/Ultra grau XL"</f>
        <v>Absorin Comfort Slip Night/Ultra grau XL</v>
      </c>
      <c r="C47" s="12" t="str">
        <f>"MDR Risikoklasse I"</f>
        <v>MDR Risikoklasse I</v>
      </c>
      <c r="D47" s="12" t="str">
        <f>"KT000099"</f>
        <v>KT000099</v>
      </c>
      <c r="E47" s="12" t="str">
        <f>"MEDIQ MEDECO"</f>
        <v>MEDIQ MEDECO</v>
      </c>
      <c r="F47" s="12" t="str">
        <f>"Brandpuntlaan Zuid 14"</f>
        <v>Brandpuntlaan Zuid 14</v>
      </c>
      <c r="G47" s="12" t="str">
        <f>"NL-2665 NZ"</f>
        <v>NL-2665 NZ</v>
      </c>
      <c r="H47" s="12" t="str">
        <f>"Bleiswijk"</f>
        <v>Bleiswijk</v>
      </c>
      <c r="I47" s="12" t="str">
        <f>"KT001216"</f>
        <v>KT001216</v>
      </c>
      <c r="J47" s="12" t="str">
        <f>"Mediq Suisse AG"</f>
        <v>Mediq Suisse AG</v>
      </c>
      <c r="K47" s="12" t="str">
        <f>"Rosengartenstrasse 25"</f>
        <v>Rosengartenstrasse 25</v>
      </c>
      <c r="L47" s="12" t="str">
        <f>"CH-8608"</f>
        <v>CH-8608</v>
      </c>
      <c r="M47" s="12" t="str">
        <f>"Bubikon"</f>
        <v>Bubikon</v>
      </c>
      <c r="N47" s="12" t="str">
        <f>"CHRN-AR-20001658"</f>
        <v>CHRN-AR-20001658</v>
      </c>
      <c r="O47" s="12" t="str">
        <f>"KT001216"</f>
        <v>KT001216</v>
      </c>
      <c r="P47" s="13" t="str">
        <f>"Mediq Suisse AG"</f>
        <v>Mediq Suisse AG</v>
      </c>
    </row>
    <row r="48" spans="1:16" x14ac:dyDescent="0.15">
      <c r="A48" s="11" t="str">
        <f>"1051 1205"</f>
        <v>1051 1205</v>
      </c>
      <c r="B48" s="12" t="str">
        <f>"Absorin Comfort Pants Plus XS"</f>
        <v>Absorin Comfort Pants Plus XS</v>
      </c>
      <c r="C48" s="12" t="str">
        <f>"MDR Risikoklasse I"</f>
        <v>MDR Risikoklasse I</v>
      </c>
      <c r="D48" s="12" t="str">
        <f>"KT000099"</f>
        <v>KT000099</v>
      </c>
      <c r="E48" s="12" t="str">
        <f>"MEDIQ MEDECO"</f>
        <v>MEDIQ MEDECO</v>
      </c>
      <c r="F48" s="12" t="str">
        <f>"Brandpuntlaan Zuid 14"</f>
        <v>Brandpuntlaan Zuid 14</v>
      </c>
      <c r="G48" s="12" t="str">
        <f>"NL-2665 NZ"</f>
        <v>NL-2665 NZ</v>
      </c>
      <c r="H48" s="12" t="str">
        <f>"Bleiswijk"</f>
        <v>Bleiswijk</v>
      </c>
      <c r="I48" s="12" t="str">
        <f>"KT001216"</f>
        <v>KT001216</v>
      </c>
      <c r="J48" s="12" t="str">
        <f>"Mediq Suisse AG"</f>
        <v>Mediq Suisse AG</v>
      </c>
      <c r="K48" s="12" t="str">
        <f>"Rosengartenstrasse 25"</f>
        <v>Rosengartenstrasse 25</v>
      </c>
      <c r="L48" s="12" t="str">
        <f>"CH-8608"</f>
        <v>CH-8608</v>
      </c>
      <c r="M48" s="12" t="str">
        <f>"Bubikon"</f>
        <v>Bubikon</v>
      </c>
      <c r="N48" s="12" t="str">
        <f>"CHRN-AR-20001658"</f>
        <v>CHRN-AR-20001658</v>
      </c>
      <c r="O48" s="12" t="str">
        <f>"KT001216"</f>
        <v>KT001216</v>
      </c>
      <c r="P48" s="13" t="str">
        <f>"Mediq Suisse AG"</f>
        <v>Mediq Suisse AG</v>
      </c>
    </row>
    <row r="49" spans="1:16" x14ac:dyDescent="0.15">
      <c r="A49" s="11" t="str">
        <f>"1051 1230"</f>
        <v>1051 1230</v>
      </c>
      <c r="B49" s="12" t="str">
        <f>"Absorin Pants SlimFit M"</f>
        <v>Absorin Pants SlimFit M</v>
      </c>
      <c r="C49" s="12" t="str">
        <f>"MDR Risikoklasse I"</f>
        <v>MDR Risikoklasse I</v>
      </c>
      <c r="D49" s="12" t="str">
        <f>"KT000099"</f>
        <v>KT000099</v>
      </c>
      <c r="E49" s="12" t="str">
        <f>"MEDIQ MEDECO"</f>
        <v>MEDIQ MEDECO</v>
      </c>
      <c r="F49" s="12" t="str">
        <f>"Brandpuntlaan Zuid 14"</f>
        <v>Brandpuntlaan Zuid 14</v>
      </c>
      <c r="G49" s="12" t="str">
        <f>"NL-2665 NZ"</f>
        <v>NL-2665 NZ</v>
      </c>
      <c r="H49" s="12" t="str">
        <f>"Bleiswijk"</f>
        <v>Bleiswijk</v>
      </c>
      <c r="I49" s="12" t="str">
        <f>"KT001216"</f>
        <v>KT001216</v>
      </c>
      <c r="J49" s="12" t="str">
        <f>"Mediq Suisse AG"</f>
        <v>Mediq Suisse AG</v>
      </c>
      <c r="K49" s="12" t="str">
        <f>"Rosengartenstrasse 25"</f>
        <v>Rosengartenstrasse 25</v>
      </c>
      <c r="L49" s="12" t="str">
        <f>"CH-8608"</f>
        <v>CH-8608</v>
      </c>
      <c r="M49" s="12" t="str">
        <f>"Bubikon"</f>
        <v>Bubikon</v>
      </c>
      <c r="N49" s="12" t="str">
        <f>"CHRN-AR-20001658"</f>
        <v>CHRN-AR-20001658</v>
      </c>
      <c r="O49" s="12" t="str">
        <f>"KT001216"</f>
        <v>KT001216</v>
      </c>
      <c r="P49" s="13" t="str">
        <f>"Mediq Suisse AG"</f>
        <v>Mediq Suisse AG</v>
      </c>
    </row>
    <row r="50" spans="1:16" x14ac:dyDescent="0.15">
      <c r="A50" s="11" t="str">
        <f>"1051 1240"</f>
        <v>1051 1240</v>
      </c>
      <c r="B50" s="12" t="str">
        <f>"Absorin Pants SlimFit L"</f>
        <v>Absorin Pants SlimFit L</v>
      </c>
      <c r="C50" s="12" t="str">
        <f>"MDR Risikoklasse I"</f>
        <v>MDR Risikoklasse I</v>
      </c>
      <c r="D50" s="12" t="str">
        <f>"KT000099"</f>
        <v>KT000099</v>
      </c>
      <c r="E50" s="12" t="str">
        <f>"MEDIQ MEDECO"</f>
        <v>MEDIQ MEDECO</v>
      </c>
      <c r="F50" s="12" t="str">
        <f>"Brandpuntlaan Zuid 14"</f>
        <v>Brandpuntlaan Zuid 14</v>
      </c>
      <c r="G50" s="12" t="str">
        <f>"NL-2665 NZ"</f>
        <v>NL-2665 NZ</v>
      </c>
      <c r="H50" s="12" t="str">
        <f>"Bleiswijk"</f>
        <v>Bleiswijk</v>
      </c>
      <c r="I50" s="12" t="str">
        <f>"KT001216"</f>
        <v>KT001216</v>
      </c>
      <c r="J50" s="12" t="str">
        <f>"Mediq Suisse AG"</f>
        <v>Mediq Suisse AG</v>
      </c>
      <c r="K50" s="12" t="str">
        <f>"Rosengartenstrasse 25"</f>
        <v>Rosengartenstrasse 25</v>
      </c>
      <c r="L50" s="12" t="str">
        <f>"CH-8608"</f>
        <v>CH-8608</v>
      </c>
      <c r="M50" s="12" t="str">
        <f>"Bubikon"</f>
        <v>Bubikon</v>
      </c>
      <c r="N50" s="12" t="str">
        <f>"CHRN-AR-20001658"</f>
        <v>CHRN-AR-20001658</v>
      </c>
      <c r="O50" s="12" t="str">
        <f>"KT001216"</f>
        <v>KT001216</v>
      </c>
      <c r="P50" s="13" t="str">
        <f>"Mediq Suisse AG"</f>
        <v>Mediq Suisse AG</v>
      </c>
    </row>
    <row r="51" spans="1:16" x14ac:dyDescent="0.15">
      <c r="A51" s="11" t="str">
        <f>"1051 1255"</f>
        <v>1051 1255</v>
      </c>
      <c r="B51" s="12" t="str">
        <f>"Absorin Comfort Pants Plus XXL"</f>
        <v>Absorin Comfort Pants Plus XXL</v>
      </c>
      <c r="C51" s="12" t="str">
        <f>"MDR Risikoklasse I"</f>
        <v>MDR Risikoklasse I</v>
      </c>
      <c r="D51" s="12" t="str">
        <f>"KT000099"</f>
        <v>KT000099</v>
      </c>
      <c r="E51" s="12" t="str">
        <f>"MEDIQ MEDECO"</f>
        <v>MEDIQ MEDECO</v>
      </c>
      <c r="F51" s="12" t="str">
        <f>"Brandpuntlaan Zuid 14"</f>
        <v>Brandpuntlaan Zuid 14</v>
      </c>
      <c r="G51" s="12" t="str">
        <f>"NL-2665 NZ"</f>
        <v>NL-2665 NZ</v>
      </c>
      <c r="H51" s="12" t="str">
        <f>"Bleiswijk"</f>
        <v>Bleiswijk</v>
      </c>
      <c r="I51" s="12" t="str">
        <f>"KT001216"</f>
        <v>KT001216</v>
      </c>
      <c r="J51" s="12" t="str">
        <f>"Mediq Suisse AG"</f>
        <v>Mediq Suisse AG</v>
      </c>
      <c r="K51" s="12" t="str">
        <f>"Rosengartenstrasse 25"</f>
        <v>Rosengartenstrasse 25</v>
      </c>
      <c r="L51" s="12" t="str">
        <f>"CH-8608"</f>
        <v>CH-8608</v>
      </c>
      <c r="M51" s="12" t="str">
        <f>"Bubikon"</f>
        <v>Bubikon</v>
      </c>
      <c r="N51" s="12" t="str">
        <f>"CHRN-AR-20001658"</f>
        <v>CHRN-AR-20001658</v>
      </c>
      <c r="O51" s="12" t="str">
        <f>"KT001216"</f>
        <v>KT001216</v>
      </c>
      <c r="P51" s="13" t="str">
        <f>"Mediq Suisse AG"</f>
        <v>Mediq Suisse AG</v>
      </c>
    </row>
    <row r="52" spans="1:16" x14ac:dyDescent="0.15">
      <c r="A52" s="11" t="str">
        <f>"1051 1275"</f>
        <v>1051 1275</v>
      </c>
      <c r="B52" s="12" t="str">
        <f>"Absorin Comfort Pants Super M"</f>
        <v>Absorin Comfort Pants Super M</v>
      </c>
      <c r="C52" s="12" t="str">
        <f>"MDR Risikoklasse I"</f>
        <v>MDR Risikoklasse I</v>
      </c>
      <c r="D52" s="12" t="str">
        <f>"KT000099"</f>
        <v>KT000099</v>
      </c>
      <c r="E52" s="12" t="str">
        <f>"MEDIQ MEDECO"</f>
        <v>MEDIQ MEDECO</v>
      </c>
      <c r="F52" s="12" t="str">
        <f>"Brandpuntlaan Zuid 14"</f>
        <v>Brandpuntlaan Zuid 14</v>
      </c>
      <c r="G52" s="12" t="str">
        <f>"NL-2665 NZ"</f>
        <v>NL-2665 NZ</v>
      </c>
      <c r="H52" s="12" t="str">
        <f>"Bleiswijk"</f>
        <v>Bleiswijk</v>
      </c>
      <c r="I52" s="12" t="str">
        <f>"KT001216"</f>
        <v>KT001216</v>
      </c>
      <c r="J52" s="12" t="str">
        <f>"Mediq Suisse AG"</f>
        <v>Mediq Suisse AG</v>
      </c>
      <c r="K52" s="12" t="str">
        <f>"Rosengartenstrasse 25"</f>
        <v>Rosengartenstrasse 25</v>
      </c>
      <c r="L52" s="12" t="str">
        <f>"CH-8608"</f>
        <v>CH-8608</v>
      </c>
      <c r="M52" s="12" t="str">
        <f>"Bubikon"</f>
        <v>Bubikon</v>
      </c>
      <c r="N52" s="12" t="str">
        <f>"CHRN-AR-20001658"</f>
        <v>CHRN-AR-20001658</v>
      </c>
      <c r="O52" s="12" t="str">
        <f>"KT001216"</f>
        <v>KT001216</v>
      </c>
      <c r="P52" s="13" t="str">
        <f>"Mediq Suisse AG"</f>
        <v>Mediq Suisse AG</v>
      </c>
    </row>
    <row r="53" spans="1:16" x14ac:dyDescent="0.15">
      <c r="A53" s="11" t="str">
        <f>"1051 1285"</f>
        <v>1051 1285</v>
      </c>
      <c r="B53" s="12" t="str">
        <f>"Absorin Comfort Pants Super L"</f>
        <v>Absorin Comfort Pants Super L</v>
      </c>
      <c r="C53" s="12" t="str">
        <f>"MDR Risikoklasse I"</f>
        <v>MDR Risikoklasse I</v>
      </c>
      <c r="D53" s="12" t="str">
        <f>"KT000099"</f>
        <v>KT000099</v>
      </c>
      <c r="E53" s="12" t="str">
        <f>"MEDIQ MEDECO"</f>
        <v>MEDIQ MEDECO</v>
      </c>
      <c r="F53" s="12" t="str">
        <f>"Brandpuntlaan Zuid 14"</f>
        <v>Brandpuntlaan Zuid 14</v>
      </c>
      <c r="G53" s="12" t="str">
        <f>"NL-2665 NZ"</f>
        <v>NL-2665 NZ</v>
      </c>
      <c r="H53" s="12" t="str">
        <f>"Bleiswijk"</f>
        <v>Bleiswijk</v>
      </c>
      <c r="I53" s="12" t="str">
        <f>"KT001216"</f>
        <v>KT001216</v>
      </c>
      <c r="J53" s="12" t="str">
        <f>"Mediq Suisse AG"</f>
        <v>Mediq Suisse AG</v>
      </c>
      <c r="K53" s="12" t="str">
        <f>"Rosengartenstrasse 25"</f>
        <v>Rosengartenstrasse 25</v>
      </c>
      <c r="L53" s="12" t="str">
        <f>"CH-8608"</f>
        <v>CH-8608</v>
      </c>
      <c r="M53" s="12" t="str">
        <f>"Bubikon"</f>
        <v>Bubikon</v>
      </c>
      <c r="N53" s="12" t="str">
        <f>"CHRN-AR-20001658"</f>
        <v>CHRN-AR-20001658</v>
      </c>
      <c r="O53" s="12" t="str">
        <f>"KT001216"</f>
        <v>KT001216</v>
      </c>
      <c r="P53" s="13" t="str">
        <f>"Mediq Suisse AG"</f>
        <v>Mediq Suisse AG</v>
      </c>
    </row>
    <row r="54" spans="1:16" x14ac:dyDescent="0.15">
      <c r="A54" s="11" t="str">
        <f>"1051 1295"</f>
        <v>1051 1295</v>
      </c>
      <c r="B54" s="12" t="str">
        <f>"Absorin Comfort Pants Super XL"</f>
        <v>Absorin Comfort Pants Super XL</v>
      </c>
      <c r="C54" s="12" t="str">
        <f>"MDR Risikoklasse I"</f>
        <v>MDR Risikoklasse I</v>
      </c>
      <c r="D54" s="12" t="str">
        <f>"KT000099"</f>
        <v>KT000099</v>
      </c>
      <c r="E54" s="12" t="str">
        <f>"MEDIQ MEDECO"</f>
        <v>MEDIQ MEDECO</v>
      </c>
      <c r="F54" s="12" t="str">
        <f>"Brandpuntlaan Zuid 14"</f>
        <v>Brandpuntlaan Zuid 14</v>
      </c>
      <c r="G54" s="12" t="str">
        <f>"NL-2665 NZ"</f>
        <v>NL-2665 NZ</v>
      </c>
      <c r="H54" s="12" t="str">
        <f>"Bleiswijk"</f>
        <v>Bleiswijk</v>
      </c>
      <c r="I54" s="12" t="str">
        <f>"KT001216"</f>
        <v>KT001216</v>
      </c>
      <c r="J54" s="12" t="str">
        <f>"Mediq Suisse AG"</f>
        <v>Mediq Suisse AG</v>
      </c>
      <c r="K54" s="12" t="str">
        <f>"Rosengartenstrasse 25"</f>
        <v>Rosengartenstrasse 25</v>
      </c>
      <c r="L54" s="12" t="str">
        <f>"CH-8608"</f>
        <v>CH-8608</v>
      </c>
      <c r="M54" s="12" t="str">
        <f>"Bubikon"</f>
        <v>Bubikon</v>
      </c>
      <c r="N54" s="12" t="str">
        <f>"CHRN-AR-20001658"</f>
        <v>CHRN-AR-20001658</v>
      </c>
      <c r="O54" s="12" t="str">
        <f>"KT001216"</f>
        <v>KT001216</v>
      </c>
      <c r="P54" s="13" t="str">
        <f>"Mediq Suisse AG"</f>
        <v>Mediq Suisse AG</v>
      </c>
    </row>
    <row r="55" spans="1:16" x14ac:dyDescent="0.15">
      <c r="A55" s="11" t="str">
        <f>"1051 1305"</f>
        <v>1051 1305</v>
      </c>
      <c r="B55" s="12" t="str">
        <f>"Absorin Comfort Pants Super XXL"</f>
        <v>Absorin Comfort Pants Super XXL</v>
      </c>
      <c r="C55" s="12" t="str">
        <f>"MDR Risikoklasse I"</f>
        <v>MDR Risikoklasse I</v>
      </c>
      <c r="D55" s="12" t="str">
        <f>"KT000099"</f>
        <v>KT000099</v>
      </c>
      <c r="E55" s="12" t="str">
        <f>"MEDIQ MEDECO"</f>
        <v>MEDIQ MEDECO</v>
      </c>
      <c r="F55" s="12" t="str">
        <f>"Brandpuntlaan Zuid 14"</f>
        <v>Brandpuntlaan Zuid 14</v>
      </c>
      <c r="G55" s="12" t="str">
        <f>"NL-2665 NZ"</f>
        <v>NL-2665 NZ</v>
      </c>
      <c r="H55" s="12" t="str">
        <f>"Bleiswijk"</f>
        <v>Bleiswijk</v>
      </c>
      <c r="I55" s="12" t="str">
        <f>"KT001216"</f>
        <v>KT001216</v>
      </c>
      <c r="J55" s="12" t="str">
        <f>"Mediq Suisse AG"</f>
        <v>Mediq Suisse AG</v>
      </c>
      <c r="K55" s="12" t="str">
        <f>"Rosengartenstrasse 25"</f>
        <v>Rosengartenstrasse 25</v>
      </c>
      <c r="L55" s="12" t="str">
        <f>"CH-8608"</f>
        <v>CH-8608</v>
      </c>
      <c r="M55" s="12" t="str">
        <f>"Bubikon"</f>
        <v>Bubikon</v>
      </c>
      <c r="N55" s="12" t="str">
        <f>"CHRN-AR-20001658"</f>
        <v>CHRN-AR-20001658</v>
      </c>
      <c r="O55" s="12" t="str">
        <f>"KT001216"</f>
        <v>KT001216</v>
      </c>
      <c r="P55" s="13" t="str">
        <f>"Mediq Suisse AG"</f>
        <v>Mediq Suisse AG</v>
      </c>
    </row>
    <row r="56" spans="1:16" x14ac:dyDescent="0.15">
      <c r="A56" s="11" t="str">
        <f>"1051 1315"</f>
        <v>1051 1315</v>
      </c>
      <c r="B56" s="12" t="str">
        <f>"Absorin Comfort Pants Fit S"</f>
        <v>Absorin Comfort Pants Fit S</v>
      </c>
      <c r="C56" s="12" t="str">
        <f>"MDR Risikoklasse I"</f>
        <v>MDR Risikoklasse I</v>
      </c>
      <c r="D56" s="12" t="str">
        <f>"KT000099"</f>
        <v>KT000099</v>
      </c>
      <c r="E56" s="12" t="str">
        <f>"MEDIQ MEDECO"</f>
        <v>MEDIQ MEDECO</v>
      </c>
      <c r="F56" s="12" t="str">
        <f>"Brandpuntlaan Zuid 14"</f>
        <v>Brandpuntlaan Zuid 14</v>
      </c>
      <c r="G56" s="12" t="str">
        <f>"NL-2665 NZ"</f>
        <v>NL-2665 NZ</v>
      </c>
      <c r="H56" s="12" t="str">
        <f>"Bleiswijk"</f>
        <v>Bleiswijk</v>
      </c>
      <c r="I56" s="12" t="str">
        <f>"KT001216"</f>
        <v>KT001216</v>
      </c>
      <c r="J56" s="12" t="str">
        <f>"Mediq Suisse AG"</f>
        <v>Mediq Suisse AG</v>
      </c>
      <c r="K56" s="12" t="str">
        <f>"Rosengartenstrasse 25"</f>
        <v>Rosengartenstrasse 25</v>
      </c>
      <c r="L56" s="12" t="str">
        <f>"CH-8608"</f>
        <v>CH-8608</v>
      </c>
      <c r="M56" s="12" t="str">
        <f>"Bubikon"</f>
        <v>Bubikon</v>
      </c>
      <c r="N56" s="12" t="str">
        <f>"CHRN-AR-20001658"</f>
        <v>CHRN-AR-20001658</v>
      </c>
      <c r="O56" s="12" t="str">
        <f>"KT001216"</f>
        <v>KT001216</v>
      </c>
      <c r="P56" s="13" t="str">
        <f>"Mediq Suisse AG"</f>
        <v>Mediq Suisse AG</v>
      </c>
    </row>
    <row r="57" spans="1:16" x14ac:dyDescent="0.15">
      <c r="A57" s="11" t="str">
        <f>"1051 1325"</f>
        <v>1051 1325</v>
      </c>
      <c r="B57" s="12" t="str">
        <f>"Absorin Comfort Pants Fit M"</f>
        <v>Absorin Comfort Pants Fit M</v>
      </c>
      <c r="C57" s="12" t="str">
        <f>"MDR Risikoklasse I"</f>
        <v>MDR Risikoklasse I</v>
      </c>
      <c r="D57" s="12" t="str">
        <f>"KT000099"</f>
        <v>KT000099</v>
      </c>
      <c r="E57" s="12" t="str">
        <f>"MEDIQ MEDECO"</f>
        <v>MEDIQ MEDECO</v>
      </c>
      <c r="F57" s="12" t="str">
        <f>"Brandpuntlaan Zuid 14"</f>
        <v>Brandpuntlaan Zuid 14</v>
      </c>
      <c r="G57" s="12" t="str">
        <f>"NL-2665 NZ"</f>
        <v>NL-2665 NZ</v>
      </c>
      <c r="H57" s="12" t="str">
        <f>"Bleiswijk"</f>
        <v>Bleiswijk</v>
      </c>
      <c r="I57" s="12" t="str">
        <f>"KT001216"</f>
        <v>KT001216</v>
      </c>
      <c r="J57" s="12" t="str">
        <f>"Mediq Suisse AG"</f>
        <v>Mediq Suisse AG</v>
      </c>
      <c r="K57" s="12" t="str">
        <f>"Rosengartenstrasse 25"</f>
        <v>Rosengartenstrasse 25</v>
      </c>
      <c r="L57" s="12" t="str">
        <f>"CH-8608"</f>
        <v>CH-8608</v>
      </c>
      <c r="M57" s="12" t="str">
        <f>"Bubikon"</f>
        <v>Bubikon</v>
      </c>
      <c r="N57" s="12" t="str">
        <f>"CHRN-AR-20001658"</f>
        <v>CHRN-AR-20001658</v>
      </c>
      <c r="O57" s="12" t="str">
        <f>"KT001216"</f>
        <v>KT001216</v>
      </c>
      <c r="P57" s="13" t="str">
        <f>"Mediq Suisse AG"</f>
        <v>Mediq Suisse AG</v>
      </c>
    </row>
    <row r="58" spans="1:16" x14ac:dyDescent="0.15">
      <c r="A58" s="11" t="str">
        <f>"1051 1335"</f>
        <v>1051 1335</v>
      </c>
      <c r="B58" s="12" t="str">
        <f>"Absorin Comfort Pants Fit L"</f>
        <v>Absorin Comfort Pants Fit L</v>
      </c>
      <c r="C58" s="12" t="str">
        <f>"MDR Risikoklasse I"</f>
        <v>MDR Risikoklasse I</v>
      </c>
      <c r="D58" s="12" t="str">
        <f>"KT000099"</f>
        <v>KT000099</v>
      </c>
      <c r="E58" s="12" t="str">
        <f>"MEDIQ MEDECO"</f>
        <v>MEDIQ MEDECO</v>
      </c>
      <c r="F58" s="12" t="str">
        <f>"Brandpuntlaan Zuid 14"</f>
        <v>Brandpuntlaan Zuid 14</v>
      </c>
      <c r="G58" s="12" t="str">
        <f>"NL-2665 NZ"</f>
        <v>NL-2665 NZ</v>
      </c>
      <c r="H58" s="12" t="str">
        <f>"Bleiswijk"</f>
        <v>Bleiswijk</v>
      </c>
      <c r="I58" s="12" t="str">
        <f>"KT001216"</f>
        <v>KT001216</v>
      </c>
      <c r="J58" s="12" t="str">
        <f>"Mediq Suisse AG"</f>
        <v>Mediq Suisse AG</v>
      </c>
      <c r="K58" s="12" t="str">
        <f>"Rosengartenstrasse 25"</f>
        <v>Rosengartenstrasse 25</v>
      </c>
      <c r="L58" s="12" t="str">
        <f>"CH-8608"</f>
        <v>CH-8608</v>
      </c>
      <c r="M58" s="12" t="str">
        <f>"Bubikon"</f>
        <v>Bubikon</v>
      </c>
      <c r="N58" s="12" t="str">
        <f>"CHRN-AR-20001658"</f>
        <v>CHRN-AR-20001658</v>
      </c>
      <c r="O58" s="12" t="str">
        <f>"KT001216"</f>
        <v>KT001216</v>
      </c>
      <c r="P58" s="13" t="str">
        <f>"Mediq Suisse AG"</f>
        <v>Mediq Suisse AG</v>
      </c>
    </row>
    <row r="59" spans="1:16" x14ac:dyDescent="0.15">
      <c r="A59" s="11" t="str">
        <f>"1051 1345"</f>
        <v>1051 1345</v>
      </c>
      <c r="B59" s="12" t="str">
        <f>"Absorin Comfort Pants Fit XL"</f>
        <v>Absorin Comfort Pants Fit XL</v>
      </c>
      <c r="C59" s="12" t="str">
        <f>"MDR Risikoklasse I"</f>
        <v>MDR Risikoklasse I</v>
      </c>
      <c r="D59" s="12" t="str">
        <f>"KT000099"</f>
        <v>KT000099</v>
      </c>
      <c r="E59" s="12" t="str">
        <f>"MEDIQ MEDECO"</f>
        <v>MEDIQ MEDECO</v>
      </c>
      <c r="F59" s="12" t="str">
        <f>"Brandpuntlaan Zuid 14"</f>
        <v>Brandpuntlaan Zuid 14</v>
      </c>
      <c r="G59" s="12" t="str">
        <f>"NL-2665 NZ"</f>
        <v>NL-2665 NZ</v>
      </c>
      <c r="H59" s="12" t="str">
        <f>"Bleiswijk"</f>
        <v>Bleiswijk</v>
      </c>
      <c r="I59" s="12" t="str">
        <f>"KT001216"</f>
        <v>KT001216</v>
      </c>
      <c r="J59" s="12" t="str">
        <f>"Mediq Suisse AG"</f>
        <v>Mediq Suisse AG</v>
      </c>
      <c r="K59" s="12" t="str">
        <f>"Rosengartenstrasse 25"</f>
        <v>Rosengartenstrasse 25</v>
      </c>
      <c r="L59" s="12" t="str">
        <f>"CH-8608"</f>
        <v>CH-8608</v>
      </c>
      <c r="M59" s="12" t="str">
        <f>"Bubikon"</f>
        <v>Bubikon</v>
      </c>
      <c r="N59" s="12" t="str">
        <f>"CHRN-AR-20001658"</f>
        <v>CHRN-AR-20001658</v>
      </c>
      <c r="O59" s="12" t="str">
        <f>"KT001216"</f>
        <v>KT001216</v>
      </c>
      <c r="P59" s="13" t="str">
        <f>"Mediq Suisse AG"</f>
        <v>Mediq Suisse AG</v>
      </c>
    </row>
    <row r="60" spans="1:16" x14ac:dyDescent="0.15">
      <c r="A60" s="11" t="str">
        <f>"1051 6200"</f>
        <v>1051 6200</v>
      </c>
      <c r="B60" s="12" t="str">
        <f>"Absorin Comfort Finette Ultra Mini"</f>
        <v>Absorin Comfort Finette Ultra Mini</v>
      </c>
      <c r="C60" s="12" t="str">
        <f>"MDR Risikoklasse I"</f>
        <v>MDR Risikoklasse I</v>
      </c>
      <c r="D60" s="12" t="str">
        <f>"KT000099"</f>
        <v>KT000099</v>
      </c>
      <c r="E60" s="12" t="str">
        <f>"MEDIQ MEDECO"</f>
        <v>MEDIQ MEDECO</v>
      </c>
      <c r="F60" s="12" t="str">
        <f>"Brandpuntlaan Zuid 14"</f>
        <v>Brandpuntlaan Zuid 14</v>
      </c>
      <c r="G60" s="12" t="str">
        <f>"NL-2665 NZ"</f>
        <v>NL-2665 NZ</v>
      </c>
      <c r="H60" s="12" t="str">
        <f>"Bleiswijk"</f>
        <v>Bleiswijk</v>
      </c>
      <c r="I60" s="12" t="str">
        <f>"KT001216"</f>
        <v>KT001216</v>
      </c>
      <c r="J60" s="12" t="str">
        <f>"Mediq Suisse AG"</f>
        <v>Mediq Suisse AG</v>
      </c>
      <c r="K60" s="12" t="str">
        <f>"Rosengartenstrasse 25"</f>
        <v>Rosengartenstrasse 25</v>
      </c>
      <c r="L60" s="12" t="str">
        <f>"CH-8608"</f>
        <v>CH-8608</v>
      </c>
      <c r="M60" s="12" t="str">
        <f>"Bubikon"</f>
        <v>Bubikon</v>
      </c>
      <c r="N60" s="12" t="str">
        <f>"CHRN-AR-20001658"</f>
        <v>CHRN-AR-20001658</v>
      </c>
      <c r="O60" s="12" t="str">
        <f>"KT001216"</f>
        <v>KT001216</v>
      </c>
      <c r="P60" s="13" t="str">
        <f>"Mediq Suisse AG"</f>
        <v>Mediq Suisse AG</v>
      </c>
    </row>
    <row r="61" spans="1:16" x14ac:dyDescent="0.15">
      <c r="A61" s="11" t="str">
        <f>"1051 6205"</f>
        <v>1051 6205</v>
      </c>
      <c r="B61" s="12" t="str">
        <f>"Absorin Comfort Finette Mini"</f>
        <v>Absorin Comfort Finette Mini</v>
      </c>
      <c r="C61" s="12" t="str">
        <f>"MDR Risikoklasse I"</f>
        <v>MDR Risikoklasse I</v>
      </c>
      <c r="D61" s="12" t="str">
        <f>"KT000099"</f>
        <v>KT000099</v>
      </c>
      <c r="E61" s="12" t="str">
        <f>"MEDIQ MEDECO"</f>
        <v>MEDIQ MEDECO</v>
      </c>
      <c r="F61" s="12" t="str">
        <f>"Brandpuntlaan Zuid 14"</f>
        <v>Brandpuntlaan Zuid 14</v>
      </c>
      <c r="G61" s="12" t="str">
        <f>"NL-2665 NZ"</f>
        <v>NL-2665 NZ</v>
      </c>
      <c r="H61" s="12" t="str">
        <f>"Bleiswijk"</f>
        <v>Bleiswijk</v>
      </c>
      <c r="I61" s="12" t="str">
        <f>"KT001216"</f>
        <v>KT001216</v>
      </c>
      <c r="J61" s="12" t="str">
        <f>"Mediq Suisse AG"</f>
        <v>Mediq Suisse AG</v>
      </c>
      <c r="K61" s="12" t="str">
        <f>"Rosengartenstrasse 25"</f>
        <v>Rosengartenstrasse 25</v>
      </c>
      <c r="L61" s="12" t="str">
        <f>"CH-8608"</f>
        <v>CH-8608</v>
      </c>
      <c r="M61" s="12" t="str">
        <f>"Bubikon"</f>
        <v>Bubikon</v>
      </c>
      <c r="N61" s="12" t="str">
        <f>"CHRN-AR-20001658"</f>
        <v>CHRN-AR-20001658</v>
      </c>
      <c r="O61" s="12" t="str">
        <f>"KT001216"</f>
        <v>KT001216</v>
      </c>
      <c r="P61" s="13" t="str">
        <f>"Mediq Suisse AG"</f>
        <v>Mediq Suisse AG</v>
      </c>
    </row>
    <row r="62" spans="1:16" x14ac:dyDescent="0.15">
      <c r="A62" s="11" t="str">
        <f>"1051 6210"</f>
        <v>1051 6210</v>
      </c>
      <c r="B62" s="12" t="str">
        <f>"Absorin Comfort Finette Mini Plus"</f>
        <v>Absorin Comfort Finette Mini Plus</v>
      </c>
      <c r="C62" s="12" t="str">
        <f>"MDR Risikoklasse I"</f>
        <v>MDR Risikoklasse I</v>
      </c>
      <c r="D62" s="12" t="str">
        <f>"KT000099"</f>
        <v>KT000099</v>
      </c>
      <c r="E62" s="12" t="str">
        <f>"MEDIQ MEDECO"</f>
        <v>MEDIQ MEDECO</v>
      </c>
      <c r="F62" s="12" t="str">
        <f>"Brandpuntlaan Zuid 14"</f>
        <v>Brandpuntlaan Zuid 14</v>
      </c>
      <c r="G62" s="12" t="str">
        <f>"NL-2665 NZ"</f>
        <v>NL-2665 NZ</v>
      </c>
      <c r="H62" s="12" t="str">
        <f>"Bleiswijk"</f>
        <v>Bleiswijk</v>
      </c>
      <c r="I62" s="12" t="str">
        <f>"KT001216"</f>
        <v>KT001216</v>
      </c>
      <c r="J62" s="12" t="str">
        <f>"Mediq Suisse AG"</f>
        <v>Mediq Suisse AG</v>
      </c>
      <c r="K62" s="12" t="str">
        <f>"Rosengartenstrasse 25"</f>
        <v>Rosengartenstrasse 25</v>
      </c>
      <c r="L62" s="12" t="str">
        <f>"CH-8608"</f>
        <v>CH-8608</v>
      </c>
      <c r="M62" s="12" t="str">
        <f>"Bubikon"</f>
        <v>Bubikon</v>
      </c>
      <c r="N62" s="12" t="str">
        <f>"CHRN-AR-20001658"</f>
        <v>CHRN-AR-20001658</v>
      </c>
      <c r="O62" s="12" t="str">
        <f>"KT001216"</f>
        <v>KT001216</v>
      </c>
      <c r="P62" s="13" t="str">
        <f>"Mediq Suisse AG"</f>
        <v>Mediq Suisse AG</v>
      </c>
    </row>
    <row r="63" spans="1:16" x14ac:dyDescent="0.15">
      <c r="A63" s="11" t="str">
        <f>"1051 6215"</f>
        <v>1051 6215</v>
      </c>
      <c r="B63" s="12" t="str">
        <f>"Absorin Comfort Finette Normal"</f>
        <v>Absorin Comfort Finette Normal</v>
      </c>
      <c r="C63" s="12" t="str">
        <f>"MDR Risikoklasse I"</f>
        <v>MDR Risikoklasse I</v>
      </c>
      <c r="D63" s="12" t="str">
        <f>"KT000099"</f>
        <v>KT000099</v>
      </c>
      <c r="E63" s="12" t="str">
        <f>"MEDIQ MEDECO"</f>
        <v>MEDIQ MEDECO</v>
      </c>
      <c r="F63" s="12" t="str">
        <f>"Brandpuntlaan Zuid 14"</f>
        <v>Brandpuntlaan Zuid 14</v>
      </c>
      <c r="G63" s="12" t="str">
        <f>"NL-2665 NZ"</f>
        <v>NL-2665 NZ</v>
      </c>
      <c r="H63" s="12" t="str">
        <f>"Bleiswijk"</f>
        <v>Bleiswijk</v>
      </c>
      <c r="I63" s="12" t="str">
        <f>"KT001216"</f>
        <v>KT001216</v>
      </c>
      <c r="J63" s="12" t="str">
        <f>"Mediq Suisse AG"</f>
        <v>Mediq Suisse AG</v>
      </c>
      <c r="K63" s="12" t="str">
        <f>"Rosengartenstrasse 25"</f>
        <v>Rosengartenstrasse 25</v>
      </c>
      <c r="L63" s="12" t="str">
        <f>"CH-8608"</f>
        <v>CH-8608</v>
      </c>
      <c r="M63" s="12" t="str">
        <f>"Bubikon"</f>
        <v>Bubikon</v>
      </c>
      <c r="N63" s="12" t="str">
        <f>"CHRN-AR-20001658"</f>
        <v>CHRN-AR-20001658</v>
      </c>
      <c r="O63" s="12" t="str">
        <f>"KT001216"</f>
        <v>KT001216</v>
      </c>
      <c r="P63" s="13" t="str">
        <f>"Mediq Suisse AG"</f>
        <v>Mediq Suisse AG</v>
      </c>
    </row>
    <row r="64" spans="1:16" x14ac:dyDescent="0.15">
      <c r="A64" s="11" t="str">
        <f>"1051 6225"</f>
        <v>1051 6225</v>
      </c>
      <c r="B64" s="12" t="str">
        <f>"Absorin Comfort Finette Extra"</f>
        <v>Absorin Comfort Finette Extra</v>
      </c>
      <c r="C64" s="12" t="str">
        <f>"MDR Risikoklasse I"</f>
        <v>MDR Risikoklasse I</v>
      </c>
      <c r="D64" s="12" t="str">
        <f>"KT000099"</f>
        <v>KT000099</v>
      </c>
      <c r="E64" s="12" t="str">
        <f>"MEDIQ MEDECO"</f>
        <v>MEDIQ MEDECO</v>
      </c>
      <c r="F64" s="12" t="str">
        <f>"Brandpuntlaan Zuid 14"</f>
        <v>Brandpuntlaan Zuid 14</v>
      </c>
      <c r="G64" s="12" t="str">
        <f>"NL-2665 NZ"</f>
        <v>NL-2665 NZ</v>
      </c>
      <c r="H64" s="12" t="str">
        <f>"Bleiswijk"</f>
        <v>Bleiswijk</v>
      </c>
      <c r="I64" s="12" t="str">
        <f>"KT001216"</f>
        <v>KT001216</v>
      </c>
      <c r="J64" s="12" t="str">
        <f>"Mediq Suisse AG"</f>
        <v>Mediq Suisse AG</v>
      </c>
      <c r="K64" s="12" t="str">
        <f>"Rosengartenstrasse 25"</f>
        <v>Rosengartenstrasse 25</v>
      </c>
      <c r="L64" s="12" t="str">
        <f>"CH-8608"</f>
        <v>CH-8608</v>
      </c>
      <c r="M64" s="12" t="str">
        <f>"Bubikon"</f>
        <v>Bubikon</v>
      </c>
      <c r="N64" s="12" t="str">
        <f>"CHRN-AR-20001658"</f>
        <v>CHRN-AR-20001658</v>
      </c>
      <c r="O64" s="12" t="str">
        <f>"KT001216"</f>
        <v>KT001216</v>
      </c>
      <c r="P64" s="13" t="str">
        <f>"Mediq Suisse AG"</f>
        <v>Mediq Suisse AG</v>
      </c>
    </row>
    <row r="65" spans="1:16" x14ac:dyDescent="0.15">
      <c r="A65" s="11" t="str">
        <f>"1051 6235"</f>
        <v>1051 6235</v>
      </c>
      <c r="B65" s="12" t="str">
        <f>"Absorin Comfort Finette Super"</f>
        <v>Absorin Comfort Finette Super</v>
      </c>
      <c r="C65" s="12" t="str">
        <f>"MDR Risikoklasse I"</f>
        <v>MDR Risikoklasse I</v>
      </c>
      <c r="D65" s="12" t="str">
        <f>"KT000099"</f>
        <v>KT000099</v>
      </c>
      <c r="E65" s="12" t="str">
        <f>"MEDIQ MEDECO"</f>
        <v>MEDIQ MEDECO</v>
      </c>
      <c r="F65" s="12" t="str">
        <f>"Brandpuntlaan Zuid 14"</f>
        <v>Brandpuntlaan Zuid 14</v>
      </c>
      <c r="G65" s="12" t="str">
        <f>"NL-2665 NZ"</f>
        <v>NL-2665 NZ</v>
      </c>
      <c r="H65" s="12" t="str">
        <f>"Bleiswijk"</f>
        <v>Bleiswijk</v>
      </c>
      <c r="I65" s="12" t="str">
        <f>"KT001216"</f>
        <v>KT001216</v>
      </c>
      <c r="J65" s="12" t="str">
        <f>"Mediq Suisse AG"</f>
        <v>Mediq Suisse AG</v>
      </c>
      <c r="K65" s="12" t="str">
        <f>"Rosengartenstrasse 25"</f>
        <v>Rosengartenstrasse 25</v>
      </c>
      <c r="L65" s="12" t="str">
        <f>"CH-8608"</f>
        <v>CH-8608</v>
      </c>
      <c r="M65" s="12" t="str">
        <f>"Bubikon"</f>
        <v>Bubikon</v>
      </c>
      <c r="N65" s="12" t="str">
        <f>"CHRN-AR-20001658"</f>
        <v>CHRN-AR-20001658</v>
      </c>
      <c r="O65" s="12" t="str">
        <f>"KT001216"</f>
        <v>KT001216</v>
      </c>
      <c r="P65" s="13" t="str">
        <f>"Mediq Suisse AG"</f>
        <v>Mediq Suisse AG</v>
      </c>
    </row>
    <row r="66" spans="1:16" x14ac:dyDescent="0.15">
      <c r="A66" s="11" t="str">
        <f>"1051 6600"</f>
        <v>1051 6600</v>
      </c>
      <c r="B66" s="12" t="str">
        <f>"Absorin Comfort Level 2 for Men"</f>
        <v>Absorin Comfort Level 2 for Men</v>
      </c>
      <c r="C66" s="12" t="str">
        <f>"MDR Risikoklasse I"</f>
        <v>MDR Risikoklasse I</v>
      </c>
      <c r="D66" s="12" t="str">
        <f>"KT000099"</f>
        <v>KT000099</v>
      </c>
      <c r="E66" s="12" t="str">
        <f>"MEDIQ MEDECO"</f>
        <v>MEDIQ MEDECO</v>
      </c>
      <c r="F66" s="12" t="str">
        <f>"Brandpuntlaan Zuid 14"</f>
        <v>Brandpuntlaan Zuid 14</v>
      </c>
      <c r="G66" s="12" t="str">
        <f>"NL-2665 NZ"</f>
        <v>NL-2665 NZ</v>
      </c>
      <c r="H66" s="12" t="str">
        <f>"Bleiswijk"</f>
        <v>Bleiswijk</v>
      </c>
      <c r="I66" s="12" t="str">
        <f>"KT001216"</f>
        <v>KT001216</v>
      </c>
      <c r="J66" s="12" t="str">
        <f>"Mediq Suisse AG"</f>
        <v>Mediq Suisse AG</v>
      </c>
      <c r="K66" s="12" t="str">
        <f>"Rosengartenstrasse 25"</f>
        <v>Rosengartenstrasse 25</v>
      </c>
      <c r="L66" s="12" t="str">
        <f>"CH-8608"</f>
        <v>CH-8608</v>
      </c>
      <c r="M66" s="12" t="str">
        <f>"Bubikon"</f>
        <v>Bubikon</v>
      </c>
      <c r="N66" s="12" t="str">
        <f>"CHRN-AR-20001658"</f>
        <v>CHRN-AR-20001658</v>
      </c>
      <c r="O66" s="12" t="str">
        <f>"KT001216"</f>
        <v>KT001216</v>
      </c>
      <c r="P66" s="13" t="str">
        <f>"Mediq Suisse AG"</f>
        <v>Mediq Suisse AG</v>
      </c>
    </row>
    <row r="67" spans="1:16" x14ac:dyDescent="0.15">
      <c r="A67" s="11" t="str">
        <f>"1051 9025"</f>
        <v>1051 9025</v>
      </c>
      <c r="B67" s="12" t="str">
        <f>"Absorin Comfort T-Fit Day/Night violett S"</f>
        <v>Absorin Comfort T-Fit Day/Night violett S</v>
      </c>
      <c r="C67" s="12" t="str">
        <f>"MDR Risikoklasse I"</f>
        <v>MDR Risikoklasse I</v>
      </c>
      <c r="D67" s="12" t="str">
        <f>"KT000099"</f>
        <v>KT000099</v>
      </c>
      <c r="E67" s="12" t="str">
        <f>"MEDIQ MEDECO"</f>
        <v>MEDIQ MEDECO</v>
      </c>
      <c r="F67" s="12" t="str">
        <f>"Brandpuntlaan Zuid 14"</f>
        <v>Brandpuntlaan Zuid 14</v>
      </c>
      <c r="G67" s="12" t="str">
        <f>"NL-2665 NZ"</f>
        <v>NL-2665 NZ</v>
      </c>
      <c r="H67" s="12" t="str">
        <f>"Bleiswijk"</f>
        <v>Bleiswijk</v>
      </c>
      <c r="I67" s="12" t="str">
        <f>"KT001216"</f>
        <v>KT001216</v>
      </c>
      <c r="J67" s="12" t="str">
        <f>"Mediq Suisse AG"</f>
        <v>Mediq Suisse AG</v>
      </c>
      <c r="K67" s="12" t="str">
        <f>"Rosengartenstrasse 25"</f>
        <v>Rosengartenstrasse 25</v>
      </c>
      <c r="L67" s="12" t="str">
        <f>"CH-8608"</f>
        <v>CH-8608</v>
      </c>
      <c r="M67" s="12" t="str">
        <f>"Bubikon"</f>
        <v>Bubikon</v>
      </c>
      <c r="N67" s="12" t="str">
        <f>"CHRN-AR-20001658"</f>
        <v>CHRN-AR-20001658</v>
      </c>
      <c r="O67" s="12" t="str">
        <f>"KT001216"</f>
        <v>KT001216</v>
      </c>
      <c r="P67" s="13" t="str">
        <f>"Mediq Suisse AG"</f>
        <v>Mediq Suisse AG</v>
      </c>
    </row>
    <row r="68" spans="1:16" x14ac:dyDescent="0.15">
      <c r="A68" s="11" t="str">
        <f>"1051 9035"</f>
        <v>1051 9035</v>
      </c>
      <c r="B68" s="12" t="str">
        <f>"Absorin Comfort T-Fit Night/Heavy orange S"</f>
        <v>Absorin Comfort T-Fit Night/Heavy orange S</v>
      </c>
      <c r="C68" s="12" t="str">
        <f>"MDR Risikoklasse I"</f>
        <v>MDR Risikoklasse I</v>
      </c>
      <c r="D68" s="12" t="str">
        <f>"KT000099"</f>
        <v>KT000099</v>
      </c>
      <c r="E68" s="12" t="str">
        <f>"MEDIQ MEDECO"</f>
        <v>MEDIQ MEDECO</v>
      </c>
      <c r="F68" s="12" t="str">
        <f>"Brandpuntlaan Zuid 14"</f>
        <v>Brandpuntlaan Zuid 14</v>
      </c>
      <c r="G68" s="12" t="str">
        <f>"NL-2665 NZ"</f>
        <v>NL-2665 NZ</v>
      </c>
      <c r="H68" s="12" t="str">
        <f>"Bleiswijk"</f>
        <v>Bleiswijk</v>
      </c>
      <c r="I68" s="12" t="str">
        <f>"KT001216"</f>
        <v>KT001216</v>
      </c>
      <c r="J68" s="12" t="str">
        <f>"Mediq Suisse AG"</f>
        <v>Mediq Suisse AG</v>
      </c>
      <c r="K68" s="12" t="str">
        <f>"Rosengartenstrasse 25"</f>
        <v>Rosengartenstrasse 25</v>
      </c>
      <c r="L68" s="12" t="str">
        <f>"CH-8608"</f>
        <v>CH-8608</v>
      </c>
      <c r="M68" s="12" t="str">
        <f>"Bubikon"</f>
        <v>Bubikon</v>
      </c>
      <c r="N68" s="12" t="str">
        <f>"CHRN-AR-20001658"</f>
        <v>CHRN-AR-20001658</v>
      </c>
      <c r="O68" s="12" t="str">
        <f>"KT001216"</f>
        <v>KT001216</v>
      </c>
      <c r="P68" s="13" t="str">
        <f>"Mediq Suisse AG"</f>
        <v>Mediq Suisse AG</v>
      </c>
    </row>
    <row r="69" spans="1:16" x14ac:dyDescent="0.15">
      <c r="A69" s="11" t="str">
        <f>"1051 9125"</f>
        <v>1051 9125</v>
      </c>
      <c r="B69" s="12" t="str">
        <f>"Absorin Comfort T-Fit Day grün M"</f>
        <v>Absorin Comfort T-Fit Day grün M</v>
      </c>
      <c r="C69" s="12" t="str">
        <f>"MDR Risikoklasse I"</f>
        <v>MDR Risikoklasse I</v>
      </c>
      <c r="D69" s="12" t="str">
        <f>"KT000099"</f>
        <v>KT000099</v>
      </c>
      <c r="E69" s="12" t="str">
        <f>"MEDIQ MEDECO"</f>
        <v>MEDIQ MEDECO</v>
      </c>
      <c r="F69" s="12" t="str">
        <f>"Brandpuntlaan Zuid 14"</f>
        <v>Brandpuntlaan Zuid 14</v>
      </c>
      <c r="G69" s="12" t="str">
        <f>"NL-2665 NZ"</f>
        <v>NL-2665 NZ</v>
      </c>
      <c r="H69" s="12" t="str">
        <f>"Bleiswijk"</f>
        <v>Bleiswijk</v>
      </c>
      <c r="I69" s="12" t="str">
        <f>"KT001216"</f>
        <v>KT001216</v>
      </c>
      <c r="J69" s="12" t="str">
        <f>"Mediq Suisse AG"</f>
        <v>Mediq Suisse AG</v>
      </c>
      <c r="K69" s="12" t="str">
        <f>"Rosengartenstrasse 25"</f>
        <v>Rosengartenstrasse 25</v>
      </c>
      <c r="L69" s="12" t="str">
        <f>"CH-8608"</f>
        <v>CH-8608</v>
      </c>
      <c r="M69" s="12" t="str">
        <f>"Bubikon"</f>
        <v>Bubikon</v>
      </c>
      <c r="N69" s="12" t="str">
        <f>"CHRN-AR-20001658"</f>
        <v>CHRN-AR-20001658</v>
      </c>
      <c r="O69" s="12" t="str">
        <f>"KT001216"</f>
        <v>KT001216</v>
      </c>
      <c r="P69" s="13" t="str">
        <f>"Mediq Suisse AG"</f>
        <v>Mediq Suisse AG</v>
      </c>
    </row>
    <row r="70" spans="1:16" x14ac:dyDescent="0.15">
      <c r="A70" s="11" t="str">
        <f>"1051 9135"</f>
        <v>1051 9135</v>
      </c>
      <c r="B70" s="12" t="str">
        <f>"Absorin Comfort T-Fit Day grün L"</f>
        <v>Absorin Comfort T-Fit Day grün L</v>
      </c>
      <c r="C70" s="12" t="str">
        <f>"MDR Risikoklasse I"</f>
        <v>MDR Risikoklasse I</v>
      </c>
      <c r="D70" s="12" t="str">
        <f>"KT000099"</f>
        <v>KT000099</v>
      </c>
      <c r="E70" s="12" t="str">
        <f>"MEDIQ MEDECO"</f>
        <v>MEDIQ MEDECO</v>
      </c>
      <c r="F70" s="12" t="str">
        <f>"Brandpuntlaan Zuid 14"</f>
        <v>Brandpuntlaan Zuid 14</v>
      </c>
      <c r="G70" s="12" t="str">
        <f>"NL-2665 NZ"</f>
        <v>NL-2665 NZ</v>
      </c>
      <c r="H70" s="12" t="str">
        <f>"Bleiswijk"</f>
        <v>Bleiswijk</v>
      </c>
      <c r="I70" s="12" t="str">
        <f>"KT001216"</f>
        <v>KT001216</v>
      </c>
      <c r="J70" s="12" t="str">
        <f>"Mediq Suisse AG"</f>
        <v>Mediq Suisse AG</v>
      </c>
      <c r="K70" s="12" t="str">
        <f>"Rosengartenstrasse 25"</f>
        <v>Rosengartenstrasse 25</v>
      </c>
      <c r="L70" s="12" t="str">
        <f>"CH-8608"</f>
        <v>CH-8608</v>
      </c>
      <c r="M70" s="12" t="str">
        <f>"Bubikon"</f>
        <v>Bubikon</v>
      </c>
      <c r="N70" s="12" t="str">
        <f>"CHRN-AR-20001658"</f>
        <v>CHRN-AR-20001658</v>
      </c>
      <c r="O70" s="12" t="str">
        <f>"KT001216"</f>
        <v>KT001216</v>
      </c>
      <c r="P70" s="13" t="str">
        <f>"Mediq Suisse AG"</f>
        <v>Mediq Suisse AG</v>
      </c>
    </row>
    <row r="71" spans="1:16" x14ac:dyDescent="0.15">
      <c r="A71" s="11" t="str">
        <f>"1051 9325"</f>
        <v>1051 9325</v>
      </c>
      <c r="B71" s="12" t="str">
        <f>"Absorin Comfort T-Fit Day/Night violett M"</f>
        <v>Absorin Comfort T-Fit Day/Night violett M</v>
      </c>
      <c r="C71" s="12" t="str">
        <f>"MDR Risikoklasse I"</f>
        <v>MDR Risikoklasse I</v>
      </c>
      <c r="D71" s="12" t="str">
        <f>"KT000099"</f>
        <v>KT000099</v>
      </c>
      <c r="E71" s="12" t="str">
        <f>"MEDIQ MEDECO"</f>
        <v>MEDIQ MEDECO</v>
      </c>
      <c r="F71" s="12" t="str">
        <f>"Brandpuntlaan Zuid 14"</f>
        <v>Brandpuntlaan Zuid 14</v>
      </c>
      <c r="G71" s="12" t="str">
        <f>"NL-2665 NZ"</f>
        <v>NL-2665 NZ</v>
      </c>
      <c r="H71" s="12" t="str">
        <f>"Bleiswijk"</f>
        <v>Bleiswijk</v>
      </c>
      <c r="I71" s="12" t="str">
        <f>"KT001216"</f>
        <v>KT001216</v>
      </c>
      <c r="J71" s="12" t="str">
        <f>"Mediq Suisse AG"</f>
        <v>Mediq Suisse AG</v>
      </c>
      <c r="K71" s="12" t="str">
        <f>"Rosengartenstrasse 25"</f>
        <v>Rosengartenstrasse 25</v>
      </c>
      <c r="L71" s="12" t="str">
        <f>"CH-8608"</f>
        <v>CH-8608</v>
      </c>
      <c r="M71" s="12" t="str">
        <f>"Bubikon"</f>
        <v>Bubikon</v>
      </c>
      <c r="N71" s="12" t="str">
        <f>"CHRN-AR-20001658"</f>
        <v>CHRN-AR-20001658</v>
      </c>
      <c r="O71" s="12" t="str">
        <f>"KT001216"</f>
        <v>KT001216</v>
      </c>
      <c r="P71" s="13" t="str">
        <f>"Mediq Suisse AG"</f>
        <v>Mediq Suisse AG</v>
      </c>
    </row>
    <row r="72" spans="1:16" x14ac:dyDescent="0.15">
      <c r="A72" s="11" t="str">
        <f>"1051 9335"</f>
        <v>1051 9335</v>
      </c>
      <c r="B72" s="12" t="str">
        <f>"Absorin Comfort T-Fit Day/Night violett L"</f>
        <v>Absorin Comfort T-Fit Day/Night violett L</v>
      </c>
      <c r="C72" s="12" t="str">
        <f>"MDR Risikoklasse I"</f>
        <v>MDR Risikoklasse I</v>
      </c>
      <c r="D72" s="12" t="str">
        <f>"KT000099"</f>
        <v>KT000099</v>
      </c>
      <c r="E72" s="12" t="str">
        <f>"MEDIQ MEDECO"</f>
        <v>MEDIQ MEDECO</v>
      </c>
      <c r="F72" s="12" t="str">
        <f>"Brandpuntlaan Zuid 14"</f>
        <v>Brandpuntlaan Zuid 14</v>
      </c>
      <c r="G72" s="12" t="str">
        <f>"NL-2665 NZ"</f>
        <v>NL-2665 NZ</v>
      </c>
      <c r="H72" s="12" t="str">
        <f>"Bleiswijk"</f>
        <v>Bleiswijk</v>
      </c>
      <c r="I72" s="12" t="str">
        <f>"KT001216"</f>
        <v>KT001216</v>
      </c>
      <c r="J72" s="12" t="str">
        <f>"Mediq Suisse AG"</f>
        <v>Mediq Suisse AG</v>
      </c>
      <c r="K72" s="12" t="str">
        <f>"Rosengartenstrasse 25"</f>
        <v>Rosengartenstrasse 25</v>
      </c>
      <c r="L72" s="12" t="str">
        <f>"CH-8608"</f>
        <v>CH-8608</v>
      </c>
      <c r="M72" s="12" t="str">
        <f>"Bubikon"</f>
        <v>Bubikon</v>
      </c>
      <c r="N72" s="12" t="str">
        <f>"CHRN-AR-20001658"</f>
        <v>CHRN-AR-20001658</v>
      </c>
      <c r="O72" s="12" t="str">
        <f>"KT001216"</f>
        <v>KT001216</v>
      </c>
      <c r="P72" s="13" t="str">
        <f>"Mediq Suisse AG"</f>
        <v>Mediq Suisse AG</v>
      </c>
    </row>
    <row r="73" spans="1:16" x14ac:dyDescent="0.15">
      <c r="A73" s="11" t="str">
        <f>"1051 9725"</f>
        <v>1051 9725</v>
      </c>
      <c r="B73" s="12" t="str">
        <f>"Absorin Comfort T-Fit Night/Heavy orange M"</f>
        <v>Absorin Comfort T-Fit Night/Heavy orange M</v>
      </c>
      <c r="C73" s="12" t="str">
        <f>"MDR Risikoklasse I"</f>
        <v>MDR Risikoklasse I</v>
      </c>
      <c r="D73" s="12" t="str">
        <f>"KT000099"</f>
        <v>KT000099</v>
      </c>
      <c r="E73" s="12" t="str">
        <f>"MEDIQ MEDECO"</f>
        <v>MEDIQ MEDECO</v>
      </c>
      <c r="F73" s="12" t="str">
        <f>"Brandpuntlaan Zuid 14"</f>
        <v>Brandpuntlaan Zuid 14</v>
      </c>
      <c r="G73" s="12" t="str">
        <f>"NL-2665 NZ"</f>
        <v>NL-2665 NZ</v>
      </c>
      <c r="H73" s="12" t="str">
        <f>"Bleiswijk"</f>
        <v>Bleiswijk</v>
      </c>
      <c r="I73" s="12" t="str">
        <f>"KT001216"</f>
        <v>KT001216</v>
      </c>
      <c r="J73" s="12" t="str">
        <f>"Mediq Suisse AG"</f>
        <v>Mediq Suisse AG</v>
      </c>
      <c r="K73" s="12" t="str">
        <f>"Rosengartenstrasse 25"</f>
        <v>Rosengartenstrasse 25</v>
      </c>
      <c r="L73" s="12" t="str">
        <f>"CH-8608"</f>
        <v>CH-8608</v>
      </c>
      <c r="M73" s="12" t="str">
        <f>"Bubikon"</f>
        <v>Bubikon</v>
      </c>
      <c r="N73" s="12" t="str">
        <f>"CHRN-AR-20001658"</f>
        <v>CHRN-AR-20001658</v>
      </c>
      <c r="O73" s="12" t="str">
        <f>"KT001216"</f>
        <v>KT001216</v>
      </c>
      <c r="P73" s="13" t="str">
        <f>"Mediq Suisse AG"</f>
        <v>Mediq Suisse AG</v>
      </c>
    </row>
    <row r="74" spans="1:16" x14ac:dyDescent="0.15">
      <c r="A74" s="11" t="str">
        <f>"1051 9735"</f>
        <v>1051 9735</v>
      </c>
      <c r="B74" s="12" t="str">
        <f>"Absorin Comfort T-Fit Night/Heavy orange L"</f>
        <v>Absorin Comfort T-Fit Night/Heavy orange L</v>
      </c>
      <c r="C74" s="12" t="str">
        <f>"MDR Risikoklasse I"</f>
        <v>MDR Risikoklasse I</v>
      </c>
      <c r="D74" s="12" t="str">
        <f>"KT000099"</f>
        <v>KT000099</v>
      </c>
      <c r="E74" s="12" t="str">
        <f>"MEDIQ MEDECO"</f>
        <v>MEDIQ MEDECO</v>
      </c>
      <c r="F74" s="12" t="str">
        <f>"Brandpuntlaan Zuid 14"</f>
        <v>Brandpuntlaan Zuid 14</v>
      </c>
      <c r="G74" s="12" t="str">
        <f>"NL-2665 NZ"</f>
        <v>NL-2665 NZ</v>
      </c>
      <c r="H74" s="12" t="str">
        <f>"Bleiswijk"</f>
        <v>Bleiswijk</v>
      </c>
      <c r="I74" s="12" t="str">
        <f>"KT001216"</f>
        <v>KT001216</v>
      </c>
      <c r="J74" s="12" t="str">
        <f>"Mediq Suisse AG"</f>
        <v>Mediq Suisse AG</v>
      </c>
      <c r="K74" s="12" t="str">
        <f>"Rosengartenstrasse 25"</f>
        <v>Rosengartenstrasse 25</v>
      </c>
      <c r="L74" s="12" t="str">
        <f>"CH-8608"</f>
        <v>CH-8608</v>
      </c>
      <c r="M74" s="12" t="str">
        <f>"Bubikon"</f>
        <v>Bubikon</v>
      </c>
      <c r="N74" s="12" t="str">
        <f>"CHRN-AR-20001658"</f>
        <v>CHRN-AR-20001658</v>
      </c>
      <c r="O74" s="12" t="str">
        <f>"KT001216"</f>
        <v>KT001216</v>
      </c>
      <c r="P74" s="13" t="str">
        <f>"Mediq Suisse AG"</f>
        <v>Mediq Suisse AG</v>
      </c>
    </row>
    <row r="75" spans="1:16" x14ac:dyDescent="0.15">
      <c r="A75" s="11" t="str">
        <f>"1051 9825"</f>
        <v>1051 9825</v>
      </c>
      <c r="B75" s="12" t="str">
        <f>"Absorin Comfort T-Fit Day grün XL"</f>
        <v>Absorin Comfort T-Fit Day grün XL</v>
      </c>
      <c r="C75" s="12" t="str">
        <f>"MDR Risikoklasse I"</f>
        <v>MDR Risikoklasse I</v>
      </c>
      <c r="D75" s="12" t="str">
        <f>"KT000099"</f>
        <v>KT000099</v>
      </c>
      <c r="E75" s="12" t="str">
        <f>"MEDIQ MEDECO"</f>
        <v>MEDIQ MEDECO</v>
      </c>
      <c r="F75" s="12" t="str">
        <f>"Brandpuntlaan Zuid 14"</f>
        <v>Brandpuntlaan Zuid 14</v>
      </c>
      <c r="G75" s="12" t="str">
        <f>"NL-2665 NZ"</f>
        <v>NL-2665 NZ</v>
      </c>
      <c r="H75" s="12" t="str">
        <f>"Bleiswijk"</f>
        <v>Bleiswijk</v>
      </c>
      <c r="I75" s="12" t="str">
        <f>"KT001216"</f>
        <v>KT001216</v>
      </c>
      <c r="J75" s="12" t="str">
        <f>"Mediq Suisse AG"</f>
        <v>Mediq Suisse AG</v>
      </c>
      <c r="K75" s="12" t="str">
        <f>"Rosengartenstrasse 25"</f>
        <v>Rosengartenstrasse 25</v>
      </c>
      <c r="L75" s="12" t="str">
        <f>"CH-8608"</f>
        <v>CH-8608</v>
      </c>
      <c r="M75" s="12" t="str">
        <f>"Bubikon"</f>
        <v>Bubikon</v>
      </c>
      <c r="N75" s="12" t="str">
        <f>"CHRN-AR-20001658"</f>
        <v>CHRN-AR-20001658</v>
      </c>
      <c r="O75" s="12" t="str">
        <f>"KT001216"</f>
        <v>KT001216</v>
      </c>
      <c r="P75" s="13" t="str">
        <f>"Mediq Suisse AG"</f>
        <v>Mediq Suisse AG</v>
      </c>
    </row>
    <row r="76" spans="1:16" x14ac:dyDescent="0.15">
      <c r="A76" s="11" t="str">
        <f>"1051 9835"</f>
        <v>1051 9835</v>
      </c>
      <c r="B76" s="12" t="str">
        <f>"Absorin Comfort T-Fit Day/Night violett XL"</f>
        <v>Absorin Comfort T-Fit Day/Night violett XL</v>
      </c>
      <c r="C76" s="12" t="str">
        <f>"MDR Risikoklasse I"</f>
        <v>MDR Risikoklasse I</v>
      </c>
      <c r="D76" s="12" t="str">
        <f>"KT000099"</f>
        <v>KT000099</v>
      </c>
      <c r="E76" s="12" t="str">
        <f>"MEDIQ MEDECO"</f>
        <v>MEDIQ MEDECO</v>
      </c>
      <c r="F76" s="12" t="str">
        <f>"Brandpuntlaan Zuid 14"</f>
        <v>Brandpuntlaan Zuid 14</v>
      </c>
      <c r="G76" s="12" t="str">
        <f>"NL-2665 NZ"</f>
        <v>NL-2665 NZ</v>
      </c>
      <c r="H76" s="12" t="str">
        <f>"Bleiswijk"</f>
        <v>Bleiswijk</v>
      </c>
      <c r="I76" s="12" t="str">
        <f>"KT001216"</f>
        <v>KT001216</v>
      </c>
      <c r="J76" s="12" t="str">
        <f>"Mediq Suisse AG"</f>
        <v>Mediq Suisse AG</v>
      </c>
      <c r="K76" s="12" t="str">
        <f>"Rosengartenstrasse 25"</f>
        <v>Rosengartenstrasse 25</v>
      </c>
      <c r="L76" s="12" t="str">
        <f>"CH-8608"</f>
        <v>CH-8608</v>
      </c>
      <c r="M76" s="12" t="str">
        <f>"Bubikon"</f>
        <v>Bubikon</v>
      </c>
      <c r="N76" s="12" t="str">
        <f>"CHRN-AR-20001658"</f>
        <v>CHRN-AR-20001658</v>
      </c>
      <c r="O76" s="12" t="str">
        <f>"KT001216"</f>
        <v>KT001216</v>
      </c>
      <c r="P76" s="13" t="str">
        <f>"Mediq Suisse AG"</f>
        <v>Mediq Suisse AG</v>
      </c>
    </row>
    <row r="77" spans="1:16" x14ac:dyDescent="0.15">
      <c r="A77" s="11" t="str">
        <f>"1051 9845"</f>
        <v>1051 9845</v>
      </c>
      <c r="B77" s="12" t="str">
        <f>"Absorin Comfort T-Fit Night/Heavy orange XL"</f>
        <v>Absorin Comfort T-Fit Night/Heavy orange XL</v>
      </c>
      <c r="C77" s="12" t="str">
        <f>"MDR Risikoklasse I"</f>
        <v>MDR Risikoklasse I</v>
      </c>
      <c r="D77" s="12" t="str">
        <f>"KT000099"</f>
        <v>KT000099</v>
      </c>
      <c r="E77" s="12" t="str">
        <f>"MEDIQ MEDECO"</f>
        <v>MEDIQ MEDECO</v>
      </c>
      <c r="F77" s="12" t="str">
        <f>"Brandpuntlaan Zuid 14"</f>
        <v>Brandpuntlaan Zuid 14</v>
      </c>
      <c r="G77" s="12" t="str">
        <f>"NL-2665 NZ"</f>
        <v>NL-2665 NZ</v>
      </c>
      <c r="H77" s="12" t="str">
        <f>"Bleiswijk"</f>
        <v>Bleiswijk</v>
      </c>
      <c r="I77" s="12" t="str">
        <f>"KT001216"</f>
        <v>KT001216</v>
      </c>
      <c r="J77" s="12" t="str">
        <f>"Mediq Suisse AG"</f>
        <v>Mediq Suisse AG</v>
      </c>
      <c r="K77" s="12" t="str">
        <f>"Rosengartenstrasse 25"</f>
        <v>Rosengartenstrasse 25</v>
      </c>
      <c r="L77" s="12" t="str">
        <f>"CH-8608"</f>
        <v>CH-8608</v>
      </c>
      <c r="M77" s="12" t="str">
        <f>"Bubikon"</f>
        <v>Bubikon</v>
      </c>
      <c r="N77" s="12" t="str">
        <f>"CHRN-AR-20001658"</f>
        <v>CHRN-AR-20001658</v>
      </c>
      <c r="O77" s="12" t="str">
        <f>"KT001216"</f>
        <v>KT001216</v>
      </c>
      <c r="P77" s="13" t="str">
        <f>"Mediq Suisse AG"</f>
        <v>Mediq Suisse AG</v>
      </c>
    </row>
    <row r="78" spans="1:16" x14ac:dyDescent="0.15">
      <c r="A78" s="11" t="str">
        <f>"1051 9925"</f>
        <v>1051 9925</v>
      </c>
      <c r="B78" s="12" t="str">
        <f>"Absorin Comfort T-Fit Ultra grau M"</f>
        <v>Absorin Comfort T-Fit Ultra grau M</v>
      </c>
      <c r="C78" s="12" t="str">
        <f>"MDR Risikoklasse I"</f>
        <v>MDR Risikoklasse I</v>
      </c>
      <c r="D78" s="12" t="str">
        <f>"KT000099"</f>
        <v>KT000099</v>
      </c>
      <c r="E78" s="12" t="str">
        <f>"MEDIQ MEDECO"</f>
        <v>MEDIQ MEDECO</v>
      </c>
      <c r="F78" s="12" t="str">
        <f>"Brandpuntlaan Zuid 14"</f>
        <v>Brandpuntlaan Zuid 14</v>
      </c>
      <c r="G78" s="12" t="str">
        <f>"NL-2665 NZ"</f>
        <v>NL-2665 NZ</v>
      </c>
      <c r="H78" s="12" t="str">
        <f>"Bleiswijk"</f>
        <v>Bleiswijk</v>
      </c>
      <c r="I78" s="12" t="str">
        <f>"KT001216"</f>
        <v>KT001216</v>
      </c>
      <c r="J78" s="12" t="str">
        <f>"Mediq Suisse AG"</f>
        <v>Mediq Suisse AG</v>
      </c>
      <c r="K78" s="12" t="str">
        <f>"Rosengartenstrasse 25"</f>
        <v>Rosengartenstrasse 25</v>
      </c>
      <c r="L78" s="12" t="str">
        <f>"CH-8608"</f>
        <v>CH-8608</v>
      </c>
      <c r="M78" s="12" t="str">
        <f>"Bubikon"</f>
        <v>Bubikon</v>
      </c>
      <c r="N78" s="12" t="str">
        <f>"CHRN-AR-20001658"</f>
        <v>CHRN-AR-20001658</v>
      </c>
      <c r="O78" s="12" t="str">
        <f>"KT001216"</f>
        <v>KT001216</v>
      </c>
      <c r="P78" s="13" t="str">
        <f>"Mediq Suisse AG"</f>
        <v>Mediq Suisse AG</v>
      </c>
    </row>
    <row r="79" spans="1:16" x14ac:dyDescent="0.15">
      <c r="A79" s="11" t="str">
        <f>"1051 9935"</f>
        <v>1051 9935</v>
      </c>
      <c r="B79" s="12" t="str">
        <f>"Absorin Comfort T-Fit Ultra grau L"</f>
        <v>Absorin Comfort T-Fit Ultra grau L</v>
      </c>
      <c r="C79" s="12" t="str">
        <f>"MDR Risikoklasse I"</f>
        <v>MDR Risikoklasse I</v>
      </c>
      <c r="D79" s="12" t="str">
        <f>"KT000099"</f>
        <v>KT000099</v>
      </c>
      <c r="E79" s="12" t="str">
        <f>"MEDIQ MEDECO"</f>
        <v>MEDIQ MEDECO</v>
      </c>
      <c r="F79" s="12" t="str">
        <f>"Brandpuntlaan Zuid 14"</f>
        <v>Brandpuntlaan Zuid 14</v>
      </c>
      <c r="G79" s="12" t="str">
        <f>"NL-2665 NZ"</f>
        <v>NL-2665 NZ</v>
      </c>
      <c r="H79" s="12" t="str">
        <f>"Bleiswijk"</f>
        <v>Bleiswijk</v>
      </c>
      <c r="I79" s="12" t="str">
        <f>"KT001216"</f>
        <v>KT001216</v>
      </c>
      <c r="J79" s="12" t="str">
        <f>"Mediq Suisse AG"</f>
        <v>Mediq Suisse AG</v>
      </c>
      <c r="K79" s="12" t="str">
        <f>"Rosengartenstrasse 25"</f>
        <v>Rosengartenstrasse 25</v>
      </c>
      <c r="L79" s="12" t="str">
        <f>"CH-8608"</f>
        <v>CH-8608</v>
      </c>
      <c r="M79" s="12" t="str">
        <f>"Bubikon"</f>
        <v>Bubikon</v>
      </c>
      <c r="N79" s="12" t="str">
        <f>"CHRN-AR-20001658"</f>
        <v>CHRN-AR-20001658</v>
      </c>
      <c r="O79" s="12" t="str">
        <f>"KT001216"</f>
        <v>KT001216</v>
      </c>
      <c r="P79" s="13" t="str">
        <f>"Mediq Suisse AG"</f>
        <v>Mediq Suisse AG</v>
      </c>
    </row>
    <row r="80" spans="1:16" x14ac:dyDescent="0.15">
      <c r="A80" s="11" t="str">
        <f>"1053 4060"</f>
        <v>1053 4060</v>
      </c>
      <c r="B80" s="12" t="str">
        <f>"Absorin Comfort Underpad Normal|40x60 cm"</f>
        <v>Absorin Comfort Underpad Normal|40x60 cm</v>
      </c>
      <c r="C80" s="12" t="str">
        <f>"MDR Risikoklasse I"</f>
        <v>MDR Risikoklasse I</v>
      </c>
      <c r="D80" s="12" t="str">
        <f>"KT000099"</f>
        <v>KT000099</v>
      </c>
      <c r="E80" s="12" t="str">
        <f>"MEDIQ MEDECO"</f>
        <v>MEDIQ MEDECO</v>
      </c>
      <c r="F80" s="12" t="str">
        <f>"Brandpuntlaan Zuid 14"</f>
        <v>Brandpuntlaan Zuid 14</v>
      </c>
      <c r="G80" s="12" t="str">
        <f>"NL-2665 NZ"</f>
        <v>NL-2665 NZ</v>
      </c>
      <c r="H80" s="12" t="str">
        <f>"Bleiswijk"</f>
        <v>Bleiswijk</v>
      </c>
      <c r="I80" s="12" t="str">
        <f>"KT001216"</f>
        <v>KT001216</v>
      </c>
      <c r="J80" s="12" t="str">
        <f>"Mediq Suisse AG"</f>
        <v>Mediq Suisse AG</v>
      </c>
      <c r="K80" s="12" t="str">
        <f>"Rosengartenstrasse 25"</f>
        <v>Rosengartenstrasse 25</v>
      </c>
      <c r="L80" s="12" t="str">
        <f>"CH-8608"</f>
        <v>CH-8608</v>
      </c>
      <c r="M80" s="12" t="str">
        <f>"Bubikon"</f>
        <v>Bubikon</v>
      </c>
      <c r="N80" s="12" t="str">
        <f>"CHRN-AR-20001658"</f>
        <v>CHRN-AR-20001658</v>
      </c>
      <c r="O80" s="12" t="str">
        <f>"KT001216"</f>
        <v>KT001216</v>
      </c>
      <c r="P80" s="13" t="str">
        <f>"Mediq Suisse AG"</f>
        <v>Mediq Suisse AG</v>
      </c>
    </row>
    <row r="81" spans="1:16" x14ac:dyDescent="0.15">
      <c r="A81" s="11" t="str">
        <f>"1053 4062"</f>
        <v>1053 4062</v>
      </c>
      <c r="B81" s="12" t="str">
        <f>"Absorin Comfort Underpad Extra|40x60 cm"</f>
        <v>Absorin Comfort Underpad Extra|40x60 cm</v>
      </c>
      <c r="C81" s="12" t="str">
        <f>"MDR Risikoklasse I"</f>
        <v>MDR Risikoklasse I</v>
      </c>
      <c r="D81" s="12" t="str">
        <f>"KT000099"</f>
        <v>KT000099</v>
      </c>
      <c r="E81" s="12" t="str">
        <f>"MEDIQ MEDECO"</f>
        <v>MEDIQ MEDECO</v>
      </c>
      <c r="F81" s="12" t="str">
        <f>"Brandpuntlaan Zuid 14"</f>
        <v>Brandpuntlaan Zuid 14</v>
      </c>
      <c r="G81" s="12" t="str">
        <f>"NL-2665 NZ"</f>
        <v>NL-2665 NZ</v>
      </c>
      <c r="H81" s="12" t="str">
        <f>"Bleiswijk"</f>
        <v>Bleiswijk</v>
      </c>
      <c r="I81" s="12" t="str">
        <f>"KT001216"</f>
        <v>KT001216</v>
      </c>
      <c r="J81" s="12" t="str">
        <f>"Mediq Suisse AG"</f>
        <v>Mediq Suisse AG</v>
      </c>
      <c r="K81" s="12" t="str">
        <f>"Rosengartenstrasse 25"</f>
        <v>Rosengartenstrasse 25</v>
      </c>
      <c r="L81" s="12" t="str">
        <f>"CH-8608"</f>
        <v>CH-8608</v>
      </c>
      <c r="M81" s="12" t="str">
        <f>"Bubikon"</f>
        <v>Bubikon</v>
      </c>
      <c r="N81" s="12" t="str">
        <f>"CHRN-AR-20001658"</f>
        <v>CHRN-AR-20001658</v>
      </c>
      <c r="O81" s="12" t="str">
        <f>"KT001216"</f>
        <v>KT001216</v>
      </c>
      <c r="P81" s="13" t="str">
        <f>"Mediq Suisse AG"</f>
        <v>Mediq Suisse AG</v>
      </c>
    </row>
    <row r="82" spans="1:16" x14ac:dyDescent="0.15">
      <c r="A82" s="11" t="str">
        <f>"1053 6060"</f>
        <v>1053 6060</v>
      </c>
      <c r="B82" s="12" t="str">
        <f>"Absorin Comfort Underpad Normal|60x60 cm"</f>
        <v>Absorin Comfort Underpad Normal|60x60 cm</v>
      </c>
      <c r="C82" s="12" t="str">
        <f>"MDR Risikoklasse I"</f>
        <v>MDR Risikoklasse I</v>
      </c>
      <c r="D82" s="12" t="str">
        <f>"KT000099"</f>
        <v>KT000099</v>
      </c>
      <c r="E82" s="12" t="str">
        <f>"MEDIQ MEDECO"</f>
        <v>MEDIQ MEDECO</v>
      </c>
      <c r="F82" s="12" t="str">
        <f>"Brandpuntlaan Zuid 14"</f>
        <v>Brandpuntlaan Zuid 14</v>
      </c>
      <c r="G82" s="12" t="str">
        <f>"NL-2665 NZ"</f>
        <v>NL-2665 NZ</v>
      </c>
      <c r="H82" s="12" t="str">
        <f>"Bleiswijk"</f>
        <v>Bleiswijk</v>
      </c>
      <c r="I82" s="12" t="str">
        <f>"KT001216"</f>
        <v>KT001216</v>
      </c>
      <c r="J82" s="12" t="str">
        <f>"Mediq Suisse AG"</f>
        <v>Mediq Suisse AG</v>
      </c>
      <c r="K82" s="12" t="str">
        <f>"Rosengartenstrasse 25"</f>
        <v>Rosengartenstrasse 25</v>
      </c>
      <c r="L82" s="12" t="str">
        <f>"CH-8608"</f>
        <v>CH-8608</v>
      </c>
      <c r="M82" s="12" t="str">
        <f>"Bubikon"</f>
        <v>Bubikon</v>
      </c>
      <c r="N82" s="12" t="str">
        <f>"CHRN-AR-20001658"</f>
        <v>CHRN-AR-20001658</v>
      </c>
      <c r="O82" s="12" t="str">
        <f>"KT001216"</f>
        <v>KT001216</v>
      </c>
      <c r="P82" s="13" t="str">
        <f>"Mediq Suisse AG"</f>
        <v>Mediq Suisse AG</v>
      </c>
    </row>
    <row r="83" spans="1:16" x14ac:dyDescent="0.15">
      <c r="A83" s="11" t="str">
        <f>"1053 6062"</f>
        <v>1053 6062</v>
      </c>
      <c r="B83" s="12" t="str">
        <f>"Absorin Comfort Underpad Extra|60x60 cm"</f>
        <v>Absorin Comfort Underpad Extra|60x60 cm</v>
      </c>
      <c r="C83" s="12" t="str">
        <f>"MDR Risikoklasse I"</f>
        <v>MDR Risikoklasse I</v>
      </c>
      <c r="D83" s="12" t="str">
        <f>"KT000099"</f>
        <v>KT000099</v>
      </c>
      <c r="E83" s="12" t="str">
        <f>"MEDIQ MEDECO"</f>
        <v>MEDIQ MEDECO</v>
      </c>
      <c r="F83" s="12" t="str">
        <f>"Brandpuntlaan Zuid 14"</f>
        <v>Brandpuntlaan Zuid 14</v>
      </c>
      <c r="G83" s="12" t="str">
        <f>"NL-2665 NZ"</f>
        <v>NL-2665 NZ</v>
      </c>
      <c r="H83" s="12" t="str">
        <f>"Bleiswijk"</f>
        <v>Bleiswijk</v>
      </c>
      <c r="I83" s="12" t="str">
        <f>"KT001216"</f>
        <v>KT001216</v>
      </c>
      <c r="J83" s="12" t="str">
        <f>"Mediq Suisse AG"</f>
        <v>Mediq Suisse AG</v>
      </c>
      <c r="K83" s="12" t="str">
        <f>"Rosengartenstrasse 25"</f>
        <v>Rosengartenstrasse 25</v>
      </c>
      <c r="L83" s="12" t="str">
        <f>"CH-8608"</f>
        <v>CH-8608</v>
      </c>
      <c r="M83" s="12" t="str">
        <f>"Bubikon"</f>
        <v>Bubikon</v>
      </c>
      <c r="N83" s="12" t="str">
        <f>"CHRN-AR-20001658"</f>
        <v>CHRN-AR-20001658</v>
      </c>
      <c r="O83" s="12" t="str">
        <f>"KT001216"</f>
        <v>KT001216</v>
      </c>
      <c r="P83" s="13" t="str">
        <f>"Mediq Suisse AG"</f>
        <v>Mediq Suisse AG</v>
      </c>
    </row>
    <row r="84" spans="1:16" x14ac:dyDescent="0.15">
      <c r="A84" s="11" t="str">
        <f>"1053 6090"</f>
        <v>1053 6090</v>
      </c>
      <c r="B84" s="12" t="str">
        <f>"Absorin Comfort Underpad Normal|60x90 cm"</f>
        <v>Absorin Comfort Underpad Normal|60x90 cm</v>
      </c>
      <c r="C84" s="12" t="str">
        <f>"MDR Risikoklasse I"</f>
        <v>MDR Risikoklasse I</v>
      </c>
      <c r="D84" s="12" t="str">
        <f>"KT000099"</f>
        <v>KT000099</v>
      </c>
      <c r="E84" s="12" t="str">
        <f>"MEDIQ MEDECO"</f>
        <v>MEDIQ MEDECO</v>
      </c>
      <c r="F84" s="12" t="str">
        <f>"Brandpuntlaan Zuid 14"</f>
        <v>Brandpuntlaan Zuid 14</v>
      </c>
      <c r="G84" s="12" t="str">
        <f>"NL-2665 NZ"</f>
        <v>NL-2665 NZ</v>
      </c>
      <c r="H84" s="12" t="str">
        <f>"Bleiswijk"</f>
        <v>Bleiswijk</v>
      </c>
      <c r="I84" s="12" t="str">
        <f>"KT001216"</f>
        <v>KT001216</v>
      </c>
      <c r="J84" s="12" t="str">
        <f>"Mediq Suisse AG"</f>
        <v>Mediq Suisse AG</v>
      </c>
      <c r="K84" s="12" t="str">
        <f>"Rosengartenstrasse 25"</f>
        <v>Rosengartenstrasse 25</v>
      </c>
      <c r="L84" s="12" t="str">
        <f>"CH-8608"</f>
        <v>CH-8608</v>
      </c>
      <c r="M84" s="12" t="str">
        <f>"Bubikon"</f>
        <v>Bubikon</v>
      </c>
      <c r="N84" s="12" t="str">
        <f>"CHRN-AR-20001658"</f>
        <v>CHRN-AR-20001658</v>
      </c>
      <c r="O84" s="12" t="str">
        <f>"KT001216"</f>
        <v>KT001216</v>
      </c>
      <c r="P84" s="13" t="str">
        <f>"Mediq Suisse AG"</f>
        <v>Mediq Suisse AG</v>
      </c>
    </row>
    <row r="85" spans="1:16" x14ac:dyDescent="0.15">
      <c r="A85" s="11" t="str">
        <f>"1053 6092"</f>
        <v>1053 6092</v>
      </c>
      <c r="B85" s="12" t="str">
        <f>"Absorin Comfort Underpad Extra|60x90 cm"</f>
        <v>Absorin Comfort Underpad Extra|60x90 cm</v>
      </c>
      <c r="C85" s="12" t="str">
        <f>"MDR Risikoklasse I"</f>
        <v>MDR Risikoklasse I</v>
      </c>
      <c r="D85" s="12" t="str">
        <f>"KT000099"</f>
        <v>KT000099</v>
      </c>
      <c r="E85" s="12" t="str">
        <f>"MEDIQ MEDECO"</f>
        <v>MEDIQ MEDECO</v>
      </c>
      <c r="F85" s="12" t="str">
        <f>"Brandpuntlaan Zuid 14"</f>
        <v>Brandpuntlaan Zuid 14</v>
      </c>
      <c r="G85" s="12" t="str">
        <f>"NL-2665 NZ"</f>
        <v>NL-2665 NZ</v>
      </c>
      <c r="H85" s="12" t="str">
        <f>"Bleiswijk"</f>
        <v>Bleiswijk</v>
      </c>
      <c r="I85" s="12" t="str">
        <f>"KT001216"</f>
        <v>KT001216</v>
      </c>
      <c r="J85" s="12" t="str">
        <f>"Mediq Suisse AG"</f>
        <v>Mediq Suisse AG</v>
      </c>
      <c r="K85" s="12" t="str">
        <f>"Rosengartenstrasse 25"</f>
        <v>Rosengartenstrasse 25</v>
      </c>
      <c r="L85" s="12" t="str">
        <f>"CH-8608"</f>
        <v>CH-8608</v>
      </c>
      <c r="M85" s="12" t="str">
        <f>"Bubikon"</f>
        <v>Bubikon</v>
      </c>
      <c r="N85" s="12" t="str">
        <f>"CHRN-AR-20001658"</f>
        <v>CHRN-AR-20001658</v>
      </c>
      <c r="O85" s="12" t="str">
        <f>"KT001216"</f>
        <v>KT001216</v>
      </c>
      <c r="P85" s="13" t="str">
        <f>"Mediq Suisse AG"</f>
        <v>Mediq Suisse AG</v>
      </c>
    </row>
    <row r="86" spans="1:16" x14ac:dyDescent="0.15">
      <c r="A86" s="11" t="str">
        <f>"1053 7308"</f>
        <v>1053 7308</v>
      </c>
      <c r="B86" s="12" t="str">
        <f>"Absorin Comfort Day Light"</f>
        <v>Absorin Comfort Day Light</v>
      </c>
      <c r="C86" s="12" t="str">
        <f>"MDR Risikoklasse I"</f>
        <v>MDR Risikoklasse I</v>
      </c>
      <c r="D86" s="12" t="str">
        <f>"KT000099"</f>
        <v>KT000099</v>
      </c>
      <c r="E86" s="12" t="str">
        <f>"MEDIQ MEDECO"</f>
        <v>MEDIQ MEDECO</v>
      </c>
      <c r="F86" s="12" t="str">
        <f>"Brandpuntlaan Zuid 14"</f>
        <v>Brandpuntlaan Zuid 14</v>
      </c>
      <c r="G86" s="12" t="str">
        <f>"NL-2665 NZ"</f>
        <v>NL-2665 NZ</v>
      </c>
      <c r="H86" s="12" t="str">
        <f>"Bleiswijk"</f>
        <v>Bleiswijk</v>
      </c>
      <c r="I86" s="12" t="str">
        <f>"KT001216"</f>
        <v>KT001216</v>
      </c>
      <c r="J86" s="12" t="str">
        <f>"Mediq Suisse AG"</f>
        <v>Mediq Suisse AG</v>
      </c>
      <c r="K86" s="12" t="str">
        <f>"Rosengartenstrasse 25"</f>
        <v>Rosengartenstrasse 25</v>
      </c>
      <c r="L86" s="12" t="str">
        <f>"CH-8608"</f>
        <v>CH-8608</v>
      </c>
      <c r="M86" s="12" t="str">
        <f>"Bubikon"</f>
        <v>Bubikon</v>
      </c>
      <c r="N86" s="12" t="str">
        <f>"CHRN-AR-20001658"</f>
        <v>CHRN-AR-20001658</v>
      </c>
      <c r="O86" s="12" t="str">
        <f>"KT001216"</f>
        <v>KT001216</v>
      </c>
      <c r="P86" s="13" t="str">
        <f>"Mediq Suisse AG"</f>
        <v>Mediq Suisse AG</v>
      </c>
    </row>
    <row r="87" spans="1:16" x14ac:dyDescent="0.15">
      <c r="A87" s="11" t="str">
        <f>"1053 7310"</f>
        <v>1053 7310</v>
      </c>
      <c r="B87" s="12" t="str">
        <f>"Absorin Comfort Day"</f>
        <v>Absorin Comfort Day</v>
      </c>
      <c r="C87" s="12" t="str">
        <f>"MDR Risikoklasse I"</f>
        <v>MDR Risikoklasse I</v>
      </c>
      <c r="D87" s="12" t="str">
        <f>"KT000099"</f>
        <v>KT000099</v>
      </c>
      <c r="E87" s="12" t="str">
        <f>"MEDIQ MEDECO"</f>
        <v>MEDIQ MEDECO</v>
      </c>
      <c r="F87" s="12" t="str">
        <f>"Brandpuntlaan Zuid 14"</f>
        <v>Brandpuntlaan Zuid 14</v>
      </c>
      <c r="G87" s="12" t="str">
        <f>"NL-2665 NZ"</f>
        <v>NL-2665 NZ</v>
      </c>
      <c r="H87" s="12" t="str">
        <f>"Bleiswijk"</f>
        <v>Bleiswijk</v>
      </c>
      <c r="I87" s="12" t="str">
        <f>"KT001216"</f>
        <v>KT001216</v>
      </c>
      <c r="J87" s="12" t="str">
        <f>"Mediq Suisse AG"</f>
        <v>Mediq Suisse AG</v>
      </c>
      <c r="K87" s="12" t="str">
        <f>"Rosengartenstrasse 25"</f>
        <v>Rosengartenstrasse 25</v>
      </c>
      <c r="L87" s="12" t="str">
        <f>"CH-8608"</f>
        <v>CH-8608</v>
      </c>
      <c r="M87" s="12" t="str">
        <f>"Bubikon"</f>
        <v>Bubikon</v>
      </c>
      <c r="N87" s="12" t="str">
        <f>"CHRN-AR-20001658"</f>
        <v>CHRN-AR-20001658</v>
      </c>
      <c r="O87" s="12" t="str">
        <f>"KT001216"</f>
        <v>KT001216</v>
      </c>
      <c r="P87" s="13" t="str">
        <f>"Mediq Suisse AG"</f>
        <v>Mediq Suisse AG</v>
      </c>
    </row>
    <row r="88" spans="1:16" x14ac:dyDescent="0.15">
      <c r="A88" s="11" t="str">
        <f>"1053 7320"</f>
        <v>1053 7320</v>
      </c>
      <c r="B88" s="12" t="str">
        <f>"Absorin Comfort Day Extra"</f>
        <v>Absorin Comfort Day Extra</v>
      </c>
      <c r="C88" s="12" t="str">
        <f>"MDR Risikoklasse I"</f>
        <v>MDR Risikoklasse I</v>
      </c>
      <c r="D88" s="12" t="str">
        <f>"KT000099"</f>
        <v>KT000099</v>
      </c>
      <c r="E88" s="12" t="str">
        <f>"MEDIQ MEDECO"</f>
        <v>MEDIQ MEDECO</v>
      </c>
      <c r="F88" s="12" t="str">
        <f>"Brandpuntlaan Zuid 14"</f>
        <v>Brandpuntlaan Zuid 14</v>
      </c>
      <c r="G88" s="12" t="str">
        <f>"NL-2665 NZ"</f>
        <v>NL-2665 NZ</v>
      </c>
      <c r="H88" s="12" t="str">
        <f>"Bleiswijk"</f>
        <v>Bleiswijk</v>
      </c>
      <c r="I88" s="12" t="str">
        <f>"KT001216"</f>
        <v>KT001216</v>
      </c>
      <c r="J88" s="12" t="str">
        <f>"Mediq Suisse AG"</f>
        <v>Mediq Suisse AG</v>
      </c>
      <c r="K88" s="12" t="str">
        <f>"Rosengartenstrasse 25"</f>
        <v>Rosengartenstrasse 25</v>
      </c>
      <c r="L88" s="12" t="str">
        <f>"CH-8608"</f>
        <v>CH-8608</v>
      </c>
      <c r="M88" s="12" t="str">
        <f>"Bubikon"</f>
        <v>Bubikon</v>
      </c>
      <c r="N88" s="12" t="str">
        <f>"CHRN-AR-20001658"</f>
        <v>CHRN-AR-20001658</v>
      </c>
      <c r="O88" s="12" t="str">
        <f>"KT001216"</f>
        <v>KT001216</v>
      </c>
      <c r="P88" s="13" t="str">
        <f>"Mediq Suisse AG"</f>
        <v>Mediq Suisse AG</v>
      </c>
    </row>
    <row r="89" spans="1:16" x14ac:dyDescent="0.15">
      <c r="A89" s="11" t="str">
        <f>"1053 7330"</f>
        <v>1053 7330</v>
      </c>
      <c r="B89" s="12" t="str">
        <f>"Absorin Comfort Night"</f>
        <v>Absorin Comfort Night</v>
      </c>
      <c r="C89" s="12" t="str">
        <f>"MDR Risikoklasse I"</f>
        <v>MDR Risikoklasse I</v>
      </c>
      <c r="D89" s="12" t="str">
        <f>"KT000099"</f>
        <v>KT000099</v>
      </c>
      <c r="E89" s="12" t="str">
        <f>"MEDIQ MEDECO"</f>
        <v>MEDIQ MEDECO</v>
      </c>
      <c r="F89" s="12" t="str">
        <f>"Brandpuntlaan Zuid 14"</f>
        <v>Brandpuntlaan Zuid 14</v>
      </c>
      <c r="G89" s="12" t="str">
        <f>"NL-2665 NZ"</f>
        <v>NL-2665 NZ</v>
      </c>
      <c r="H89" s="12" t="str">
        <f>"Bleiswijk"</f>
        <v>Bleiswijk</v>
      </c>
      <c r="I89" s="12" t="str">
        <f>"KT001216"</f>
        <v>KT001216</v>
      </c>
      <c r="J89" s="12" t="str">
        <f>"Mediq Suisse AG"</f>
        <v>Mediq Suisse AG</v>
      </c>
      <c r="K89" s="12" t="str">
        <f>"Rosengartenstrasse 25"</f>
        <v>Rosengartenstrasse 25</v>
      </c>
      <c r="L89" s="12" t="str">
        <f>"CH-8608"</f>
        <v>CH-8608</v>
      </c>
      <c r="M89" s="12" t="str">
        <f>"Bubikon"</f>
        <v>Bubikon</v>
      </c>
      <c r="N89" s="12" t="str">
        <f>"CHRN-AR-20001658"</f>
        <v>CHRN-AR-20001658</v>
      </c>
      <c r="O89" s="12" t="str">
        <f>"KT001216"</f>
        <v>KT001216</v>
      </c>
      <c r="P89" s="13" t="str">
        <f>"Mediq Suisse AG"</f>
        <v>Mediq Suisse AG</v>
      </c>
    </row>
    <row r="90" spans="1:16" x14ac:dyDescent="0.15">
      <c r="A90" s="11" t="str">
        <f>"1053 7340"</f>
        <v>1053 7340</v>
      </c>
      <c r="B90" s="12" t="str">
        <f>"Absorin Comfort Heavy"</f>
        <v>Absorin Comfort Heavy</v>
      </c>
      <c r="C90" s="12" t="str">
        <f>"MDR Risikoklasse I"</f>
        <v>MDR Risikoklasse I</v>
      </c>
      <c r="D90" s="12" t="str">
        <f>"KT000099"</f>
        <v>KT000099</v>
      </c>
      <c r="E90" s="12" t="str">
        <f>"MEDIQ MEDECO"</f>
        <v>MEDIQ MEDECO</v>
      </c>
      <c r="F90" s="12" t="str">
        <f>"Brandpuntlaan Zuid 14"</f>
        <v>Brandpuntlaan Zuid 14</v>
      </c>
      <c r="G90" s="12" t="str">
        <f>"NL-2665 NZ"</f>
        <v>NL-2665 NZ</v>
      </c>
      <c r="H90" s="12" t="str">
        <f>"Bleiswijk"</f>
        <v>Bleiswijk</v>
      </c>
      <c r="I90" s="12" t="str">
        <f>"KT001216"</f>
        <v>KT001216</v>
      </c>
      <c r="J90" s="12" t="str">
        <f>"Mediq Suisse AG"</f>
        <v>Mediq Suisse AG</v>
      </c>
      <c r="K90" s="12" t="str">
        <f>"Rosengartenstrasse 25"</f>
        <v>Rosengartenstrasse 25</v>
      </c>
      <c r="L90" s="12" t="str">
        <f>"CH-8608"</f>
        <v>CH-8608</v>
      </c>
      <c r="M90" s="12" t="str">
        <f>"Bubikon"</f>
        <v>Bubikon</v>
      </c>
      <c r="N90" s="12" t="str">
        <f>"CHRN-AR-20001658"</f>
        <v>CHRN-AR-20001658</v>
      </c>
      <c r="O90" s="12" t="str">
        <f>"KT001216"</f>
        <v>KT001216</v>
      </c>
      <c r="P90" s="13" t="str">
        <f>"Mediq Suisse AG"</f>
        <v>Mediq Suisse AG</v>
      </c>
    </row>
    <row r="91" spans="1:16" x14ac:dyDescent="0.15">
      <c r="A91" s="11" t="str">
        <f>"1053 7350"</f>
        <v>1053 7350</v>
      </c>
      <c r="B91" s="12" t="str">
        <f>"Absorin Comfort Ultra"</f>
        <v>Absorin Comfort Ultra</v>
      </c>
      <c r="C91" s="12" t="str">
        <f>"MDR Risikoklasse I"</f>
        <v>MDR Risikoklasse I</v>
      </c>
      <c r="D91" s="12" t="str">
        <f>"KT000099"</f>
        <v>KT000099</v>
      </c>
      <c r="E91" s="12" t="str">
        <f>"MEDIQ MEDECO"</f>
        <v>MEDIQ MEDECO</v>
      </c>
      <c r="F91" s="12" t="str">
        <f>"Brandpuntlaan Zuid 14"</f>
        <v>Brandpuntlaan Zuid 14</v>
      </c>
      <c r="G91" s="12" t="str">
        <f>"NL-2665 NZ"</f>
        <v>NL-2665 NZ</v>
      </c>
      <c r="H91" s="12" t="str">
        <f>"Bleiswijk"</f>
        <v>Bleiswijk</v>
      </c>
      <c r="I91" s="12" t="str">
        <f>"KT001216"</f>
        <v>KT001216</v>
      </c>
      <c r="J91" s="12" t="str">
        <f>"Mediq Suisse AG"</f>
        <v>Mediq Suisse AG</v>
      </c>
      <c r="K91" s="12" t="str">
        <f>"Rosengartenstrasse 25"</f>
        <v>Rosengartenstrasse 25</v>
      </c>
      <c r="L91" s="12" t="str">
        <f>"CH-8608"</f>
        <v>CH-8608</v>
      </c>
      <c r="M91" s="12" t="str">
        <f>"Bubikon"</f>
        <v>Bubikon</v>
      </c>
      <c r="N91" s="12" t="str">
        <f>"CHRN-AR-20001658"</f>
        <v>CHRN-AR-20001658</v>
      </c>
      <c r="O91" s="12" t="str">
        <f>"KT001216"</f>
        <v>KT001216</v>
      </c>
      <c r="P91" s="13" t="str">
        <f>"Mediq Suisse AG"</f>
        <v>Mediq Suisse AG</v>
      </c>
    </row>
    <row r="92" spans="1:16" x14ac:dyDescent="0.15">
      <c r="A92" s="11" t="str">
        <f>"1225A"</f>
        <v>1225A</v>
      </c>
      <c r="B92" s="12" t="str">
        <f>"Absorin Comfort Pants Plus M"</f>
        <v>Absorin Comfort Pants Plus M</v>
      </c>
      <c r="C92" s="12" t="str">
        <f>"MDR Risikoklasse I"</f>
        <v>MDR Risikoklasse I</v>
      </c>
      <c r="D92" s="12" t="str">
        <f>"KT000099"</f>
        <v>KT000099</v>
      </c>
      <c r="E92" s="12" t="str">
        <f>"MEDIQ MEDECO"</f>
        <v>MEDIQ MEDECO</v>
      </c>
      <c r="F92" s="12" t="str">
        <f>"Brandpuntlaan Zuid 14"</f>
        <v>Brandpuntlaan Zuid 14</v>
      </c>
      <c r="G92" s="12" t="str">
        <f>"NL-2665 NZ"</f>
        <v>NL-2665 NZ</v>
      </c>
      <c r="H92" s="12" t="str">
        <f>"Bleiswijk"</f>
        <v>Bleiswijk</v>
      </c>
      <c r="I92" s="12" t="str">
        <f>"KT001216"</f>
        <v>KT001216</v>
      </c>
      <c r="J92" s="12" t="str">
        <f>"Mediq Suisse AG"</f>
        <v>Mediq Suisse AG</v>
      </c>
      <c r="K92" s="12" t="str">
        <f>"Rosengartenstrasse 25"</f>
        <v>Rosengartenstrasse 25</v>
      </c>
      <c r="L92" s="12" t="str">
        <f>"CH-8608"</f>
        <v>CH-8608</v>
      </c>
      <c r="M92" s="12" t="str">
        <f>"Bubikon"</f>
        <v>Bubikon</v>
      </c>
      <c r="N92" s="12" t="str">
        <f>"CHRN-AR-20001658"</f>
        <v>CHRN-AR-20001658</v>
      </c>
      <c r="O92" s="12" t="str">
        <f>"KT001216"</f>
        <v>KT001216</v>
      </c>
      <c r="P92" s="13" t="str">
        <f>"Mediq Suisse AG"</f>
        <v>Mediq Suisse AG</v>
      </c>
    </row>
    <row r="93" spans="1:16" x14ac:dyDescent="0.15">
      <c r="A93" s="11" t="str">
        <f>"1235A"</f>
        <v>1235A</v>
      </c>
      <c r="B93" s="12" t="str">
        <f>"Absorin Comfort Pants Plus L"</f>
        <v>Absorin Comfort Pants Plus L</v>
      </c>
      <c r="C93" s="12" t="str">
        <f>"MDR Risikoklasse I"</f>
        <v>MDR Risikoklasse I</v>
      </c>
      <c r="D93" s="12" t="str">
        <f>"KT000099"</f>
        <v>KT000099</v>
      </c>
      <c r="E93" s="12" t="str">
        <f>"MEDIQ MEDECO"</f>
        <v>MEDIQ MEDECO</v>
      </c>
      <c r="F93" s="12" t="str">
        <f>"Brandpuntlaan Zuid 14"</f>
        <v>Brandpuntlaan Zuid 14</v>
      </c>
      <c r="G93" s="12" t="str">
        <f>"NL-2665 NZ"</f>
        <v>NL-2665 NZ</v>
      </c>
      <c r="H93" s="12" t="str">
        <f>"Bleiswijk"</f>
        <v>Bleiswijk</v>
      </c>
      <c r="I93" s="12" t="str">
        <f>"KT001216"</f>
        <v>KT001216</v>
      </c>
      <c r="J93" s="12" t="str">
        <f>"Mediq Suisse AG"</f>
        <v>Mediq Suisse AG</v>
      </c>
      <c r="K93" s="12" t="str">
        <f>"Rosengartenstrasse 25"</f>
        <v>Rosengartenstrasse 25</v>
      </c>
      <c r="L93" s="12" t="str">
        <f>"CH-8608"</f>
        <v>CH-8608</v>
      </c>
      <c r="M93" s="12" t="str">
        <f>"Bubikon"</f>
        <v>Bubikon</v>
      </c>
      <c r="N93" s="12" t="str">
        <f>"CHRN-AR-20001658"</f>
        <v>CHRN-AR-20001658</v>
      </c>
      <c r="O93" s="12" t="str">
        <f>"KT001216"</f>
        <v>KT001216</v>
      </c>
      <c r="P93" s="13" t="str">
        <f>"Mediq Suisse AG"</f>
        <v>Mediq Suisse AG</v>
      </c>
    </row>
    <row r="94" spans="1:16" x14ac:dyDescent="0.15">
      <c r="A94" s="11" t="str">
        <f>"1245A"</f>
        <v>1245A</v>
      </c>
      <c r="B94" s="12" t="str">
        <f>"Absorin Comfort Pants Plus XL"</f>
        <v>Absorin Comfort Pants Plus XL</v>
      </c>
      <c r="C94" s="12" t="str">
        <f>"MDR Risikoklasse I"</f>
        <v>MDR Risikoklasse I</v>
      </c>
      <c r="D94" s="12" t="str">
        <f>"KT000099"</f>
        <v>KT000099</v>
      </c>
      <c r="E94" s="12" t="str">
        <f>"MEDIQ MEDECO"</f>
        <v>MEDIQ MEDECO</v>
      </c>
      <c r="F94" s="12" t="str">
        <f>"Brandpuntlaan Zuid 14"</f>
        <v>Brandpuntlaan Zuid 14</v>
      </c>
      <c r="G94" s="12" t="str">
        <f>"NL-2665 NZ"</f>
        <v>NL-2665 NZ</v>
      </c>
      <c r="H94" s="12" t="str">
        <f>"Bleiswijk"</f>
        <v>Bleiswijk</v>
      </c>
      <c r="I94" s="12" t="str">
        <f>"KT001216"</f>
        <v>KT001216</v>
      </c>
      <c r="J94" s="12" t="str">
        <f>"Mediq Suisse AG"</f>
        <v>Mediq Suisse AG</v>
      </c>
      <c r="K94" s="12" t="str">
        <f>"Rosengartenstrasse 25"</f>
        <v>Rosengartenstrasse 25</v>
      </c>
      <c r="L94" s="12" t="str">
        <f>"CH-8608"</f>
        <v>CH-8608</v>
      </c>
      <c r="M94" s="12" t="str">
        <f>"Bubikon"</f>
        <v>Bubikon</v>
      </c>
      <c r="N94" s="12" t="str">
        <f>"CHRN-AR-20001658"</f>
        <v>CHRN-AR-20001658</v>
      </c>
      <c r="O94" s="12" t="str">
        <f>"KT001216"</f>
        <v>KT001216</v>
      </c>
      <c r="P94" s="13" t="str">
        <f>"Mediq Suisse AG"</f>
        <v>Mediq Suisse AG</v>
      </c>
    </row>
    <row r="95" spans="1:16" x14ac:dyDescent="0.15">
      <c r="A95" s="11" t="str">
        <f>"2020.0"</f>
        <v>2020.0</v>
      </c>
      <c r="B95" s="12" t="str">
        <f>"Curion C4 Bettbeutel|Kreuzvent|2000ml|120cm|steril"</f>
        <v>Curion C4 Bettbeutel|Kreuzvent|2000ml|120cm|steril</v>
      </c>
      <c r="C95" s="12" t="str">
        <f>"MDR Risikoklasse Is"</f>
        <v>MDR Risikoklasse Is</v>
      </c>
      <c r="D95" s="12" t="str">
        <f>"KT000099"</f>
        <v>KT000099</v>
      </c>
      <c r="E95" s="12" t="str">
        <f>"MEDIQ MEDECO"</f>
        <v>MEDIQ MEDECO</v>
      </c>
      <c r="F95" s="12" t="str">
        <f>"Brandpuntlaan Zuid 14"</f>
        <v>Brandpuntlaan Zuid 14</v>
      </c>
      <c r="G95" s="12" t="str">
        <f>"NL-2665 NZ"</f>
        <v>NL-2665 NZ</v>
      </c>
      <c r="H95" s="12" t="str">
        <f>"Bleiswijk"</f>
        <v>Bleiswijk</v>
      </c>
      <c r="I95" s="12" t="str">
        <f>"KT001216"</f>
        <v>KT001216</v>
      </c>
      <c r="J95" s="12" t="str">
        <f>"Mediq Suisse AG"</f>
        <v>Mediq Suisse AG</v>
      </c>
      <c r="K95" s="12" t="str">
        <f>"Rosengartenstrasse 25"</f>
        <v>Rosengartenstrasse 25</v>
      </c>
      <c r="L95" s="12" t="str">
        <f>"CH-8608"</f>
        <v>CH-8608</v>
      </c>
      <c r="M95" s="12" t="str">
        <f>"Bubikon"</f>
        <v>Bubikon</v>
      </c>
      <c r="N95" s="12" t="str">
        <f>"CHRN-AR-20001658"</f>
        <v>CHRN-AR-20001658</v>
      </c>
      <c r="O95" s="12" t="str">
        <f>"KT001216"</f>
        <v>KT001216</v>
      </c>
      <c r="P95" s="13" t="str">
        <f>"Mediq Suisse AG"</f>
        <v>Mediq Suisse AG</v>
      </c>
    </row>
    <row r="96" spans="1:16" x14ac:dyDescent="0.15">
      <c r="A96" s="11" t="str">
        <f>"2054K"</f>
        <v>2054K</v>
      </c>
      <c r="B96" s="12" t="str">
        <f>"Curion Soft Beinbeutel|Schwenkhahn|500ml|15cm"</f>
        <v>Curion Soft Beinbeutel|Schwenkhahn|500ml|15cm</v>
      </c>
      <c r="C96" s="12" t="str">
        <f>"MDR Risikoklasse I"</f>
        <v>MDR Risikoklasse I</v>
      </c>
      <c r="D96" s="12" t="str">
        <f>"KT000099"</f>
        <v>KT000099</v>
      </c>
      <c r="E96" s="12" t="str">
        <f>"MEDIQ MEDECO"</f>
        <v>MEDIQ MEDECO</v>
      </c>
      <c r="F96" s="12" t="str">
        <f>"Brandpuntlaan Zuid 14"</f>
        <v>Brandpuntlaan Zuid 14</v>
      </c>
      <c r="G96" s="12" t="str">
        <f>"NL-2665 NZ"</f>
        <v>NL-2665 NZ</v>
      </c>
      <c r="H96" s="12" t="str">
        <f>"Bleiswijk"</f>
        <v>Bleiswijk</v>
      </c>
      <c r="I96" s="12" t="str">
        <f>"KT001216"</f>
        <v>KT001216</v>
      </c>
      <c r="J96" s="12" t="str">
        <f>"Mediq Suisse AG"</f>
        <v>Mediq Suisse AG</v>
      </c>
      <c r="K96" s="12" t="str">
        <f>"Rosengartenstrasse 25"</f>
        <v>Rosengartenstrasse 25</v>
      </c>
      <c r="L96" s="12" t="str">
        <f>"CH-8608"</f>
        <v>CH-8608</v>
      </c>
      <c r="M96" s="12" t="str">
        <f>"Bubikon"</f>
        <v>Bubikon</v>
      </c>
      <c r="N96" s="12" t="str">
        <f>"CHRN-AR-20001658"</f>
        <v>CHRN-AR-20001658</v>
      </c>
      <c r="O96" s="12" t="str">
        <f>"KT001216"</f>
        <v>KT001216</v>
      </c>
      <c r="P96" s="13" t="str">
        <f>"Mediq Suisse AG"</f>
        <v>Mediq Suisse AG</v>
      </c>
    </row>
    <row r="97" spans="1:16" x14ac:dyDescent="0.15">
      <c r="A97" s="11" t="str">
        <f>"2055K"</f>
        <v>2055K</v>
      </c>
      <c r="B97" s="12" t="str">
        <f>"Curion Soft Beinbeutel|Schwenkhahn|500ml|60cm"</f>
        <v>Curion Soft Beinbeutel|Schwenkhahn|500ml|60cm</v>
      </c>
      <c r="C97" s="12" t="str">
        <f>"MDR Risikoklasse I"</f>
        <v>MDR Risikoklasse I</v>
      </c>
      <c r="D97" s="12" t="str">
        <f>"KT000099"</f>
        <v>KT000099</v>
      </c>
      <c r="E97" s="12" t="str">
        <f>"MEDIQ MEDECO"</f>
        <v>MEDIQ MEDECO</v>
      </c>
      <c r="F97" s="12" t="str">
        <f>"Brandpuntlaan Zuid 14"</f>
        <v>Brandpuntlaan Zuid 14</v>
      </c>
      <c r="G97" s="12" t="str">
        <f>"NL-2665 NZ"</f>
        <v>NL-2665 NZ</v>
      </c>
      <c r="H97" s="12" t="str">
        <f>"Bleiswijk"</f>
        <v>Bleiswijk</v>
      </c>
      <c r="I97" s="12" t="str">
        <f>"KT001216"</f>
        <v>KT001216</v>
      </c>
      <c r="J97" s="12" t="str">
        <f>"Mediq Suisse AG"</f>
        <v>Mediq Suisse AG</v>
      </c>
      <c r="K97" s="12" t="str">
        <f>"Rosengartenstrasse 25"</f>
        <v>Rosengartenstrasse 25</v>
      </c>
      <c r="L97" s="12" t="str">
        <f>"CH-8608"</f>
        <v>CH-8608</v>
      </c>
      <c r="M97" s="12" t="str">
        <f>"Bubikon"</f>
        <v>Bubikon</v>
      </c>
      <c r="N97" s="12" t="str">
        <f>"CHRN-AR-20001658"</f>
        <v>CHRN-AR-20001658</v>
      </c>
      <c r="O97" s="12" t="str">
        <f>"KT001216"</f>
        <v>KT001216</v>
      </c>
      <c r="P97" s="13" t="str">
        <f>"Mediq Suisse AG"</f>
        <v>Mediq Suisse AG</v>
      </c>
    </row>
    <row r="98" spans="1:16" x14ac:dyDescent="0.15">
      <c r="A98" s="11" t="str">
        <f>"2056K"</f>
        <v>2056K</v>
      </c>
      <c r="B98" s="12" t="str">
        <f>"Curion Soft Beinbeutel|Schwenkhahn|750ml|60cm"</f>
        <v>Curion Soft Beinbeutel|Schwenkhahn|750ml|60cm</v>
      </c>
      <c r="C98" s="12" t="str">
        <f>"MDR Risikoklasse I"</f>
        <v>MDR Risikoklasse I</v>
      </c>
      <c r="D98" s="12" t="str">
        <f>"KT000099"</f>
        <v>KT000099</v>
      </c>
      <c r="E98" s="12" t="str">
        <f>"MEDIQ MEDECO"</f>
        <v>MEDIQ MEDECO</v>
      </c>
      <c r="F98" s="12" t="str">
        <f>"Brandpuntlaan Zuid 14"</f>
        <v>Brandpuntlaan Zuid 14</v>
      </c>
      <c r="G98" s="12" t="str">
        <f>"NL-2665 NZ"</f>
        <v>NL-2665 NZ</v>
      </c>
      <c r="H98" s="12" t="str">
        <f>"Bleiswijk"</f>
        <v>Bleiswijk</v>
      </c>
      <c r="I98" s="12" t="str">
        <f>"KT001216"</f>
        <v>KT001216</v>
      </c>
      <c r="J98" s="12" t="str">
        <f>"Mediq Suisse AG"</f>
        <v>Mediq Suisse AG</v>
      </c>
      <c r="K98" s="12" t="str">
        <f>"Rosengartenstrasse 25"</f>
        <v>Rosengartenstrasse 25</v>
      </c>
      <c r="L98" s="12" t="str">
        <f>"CH-8608"</f>
        <v>CH-8608</v>
      </c>
      <c r="M98" s="12" t="str">
        <f>"Bubikon"</f>
        <v>Bubikon</v>
      </c>
      <c r="N98" s="12" t="str">
        <f>"CHRN-AR-20001658"</f>
        <v>CHRN-AR-20001658</v>
      </c>
      <c r="O98" s="12" t="str">
        <f>"KT001216"</f>
        <v>KT001216</v>
      </c>
      <c r="P98" s="13" t="str">
        <f>"Mediq Suisse AG"</f>
        <v>Mediq Suisse AG</v>
      </c>
    </row>
    <row r="99" spans="1:16" x14ac:dyDescent="0.15">
      <c r="A99" s="11" t="str">
        <f>"2065.0"</f>
        <v>2065.0</v>
      </c>
      <c r="B99" s="12" t="str">
        <f>"Curibag Beinbeutel|Kreuzventil|750ml|45cm|unsteril"</f>
        <v>Curibag Beinbeutel|Kreuzventil|750ml|45cm|unsteril</v>
      </c>
      <c r="C99" s="12" t="str">
        <f>"MDR Risikoklasse I"</f>
        <v>MDR Risikoklasse I</v>
      </c>
      <c r="D99" s="12" t="str">
        <f>"KT000099"</f>
        <v>KT000099</v>
      </c>
      <c r="E99" s="12" t="str">
        <f>"MEDIQ MEDECO"</f>
        <v>MEDIQ MEDECO</v>
      </c>
      <c r="F99" s="12" t="str">
        <f>"Brandpuntlaan Zuid 14"</f>
        <v>Brandpuntlaan Zuid 14</v>
      </c>
      <c r="G99" s="12" t="str">
        <f>"NL-2665 NZ"</f>
        <v>NL-2665 NZ</v>
      </c>
      <c r="H99" s="12" t="str">
        <f>"Bleiswijk"</f>
        <v>Bleiswijk</v>
      </c>
      <c r="I99" s="12" t="str">
        <f>"KT001216"</f>
        <v>KT001216</v>
      </c>
      <c r="J99" s="12" t="str">
        <f>"Mediq Suisse AG"</f>
        <v>Mediq Suisse AG</v>
      </c>
      <c r="K99" s="12" t="str">
        <f>"Rosengartenstrasse 25"</f>
        <v>Rosengartenstrasse 25</v>
      </c>
      <c r="L99" s="12" t="str">
        <f>"CH-8608"</f>
        <v>CH-8608</v>
      </c>
      <c r="M99" s="12" t="str">
        <f>"Bubikon"</f>
        <v>Bubikon</v>
      </c>
      <c r="N99" s="12" t="str">
        <f>"CHRN-AR-20001658"</f>
        <v>CHRN-AR-20001658</v>
      </c>
      <c r="O99" s="12" t="str">
        <f>"KT001216"</f>
        <v>KT001216</v>
      </c>
      <c r="P99" s="13" t="str">
        <f>"Mediq Suisse AG"</f>
        <v>Mediq Suisse AG</v>
      </c>
    </row>
    <row r="100" spans="1:16" x14ac:dyDescent="0.15">
      <c r="A100" s="11" t="str">
        <f>"20750"</f>
        <v>20750</v>
      </c>
      <c r="B100" s="12" t="str">
        <f>"Urinflasche ohne Rücklaufsperre für Frauen"</f>
        <v>Urinflasche ohne Rücklaufsperre für Frauen</v>
      </c>
      <c r="C100" s="12" t="str">
        <f>"MDR Risikoklasse I"</f>
        <v>MDR Risikoklasse I</v>
      </c>
      <c r="D100" s="12" t="str">
        <f>"KT000099"</f>
        <v>KT000099</v>
      </c>
      <c r="E100" s="12" t="str">
        <f>"MEDIQ MEDECO"</f>
        <v>MEDIQ MEDECO</v>
      </c>
      <c r="F100" s="12" t="str">
        <f>"Brandpuntlaan Zuid 14"</f>
        <v>Brandpuntlaan Zuid 14</v>
      </c>
      <c r="G100" s="12" t="str">
        <f>"NL-2665 NZ"</f>
        <v>NL-2665 NZ</v>
      </c>
      <c r="H100" s="12" t="str">
        <f>"Bleiswijk"</f>
        <v>Bleiswijk</v>
      </c>
      <c r="I100" s="12" t="str">
        <f>"KT001216"</f>
        <v>KT001216</v>
      </c>
      <c r="J100" s="12" t="str">
        <f>"Mediq Suisse AG"</f>
        <v>Mediq Suisse AG</v>
      </c>
      <c r="K100" s="12" t="str">
        <f>"Rosengartenstrasse 25"</f>
        <v>Rosengartenstrasse 25</v>
      </c>
      <c r="L100" s="12" t="str">
        <f>"CH-8608"</f>
        <v>CH-8608</v>
      </c>
      <c r="M100" s="12" t="str">
        <f>"Bubikon"</f>
        <v>Bubikon</v>
      </c>
      <c r="N100" s="12" t="str">
        <f>"CHRN-AR-20001658"</f>
        <v>CHRN-AR-20001658</v>
      </c>
      <c r="O100" s="12" t="str">
        <f>"KT001216"</f>
        <v>KT001216</v>
      </c>
      <c r="P100" s="13" t="str">
        <f>"Mediq Suisse AG"</f>
        <v>Mediq Suisse AG</v>
      </c>
    </row>
    <row r="101" spans="1:16" x14ac:dyDescent="0.15">
      <c r="A101" s="11" t="str">
        <f>"2102.0"</f>
        <v>2102.0</v>
      </c>
      <c r="B101" s="12" t="str">
        <f>"Klinion Einmalhandschuh Polyethylen|gerippt"</f>
        <v>Klinion Einmalhandschuh Polyethylen|gerippt</v>
      </c>
      <c r="C101" s="12" t="str">
        <f>"MDR Risikoklasse I"</f>
        <v>MDR Risikoklasse I</v>
      </c>
      <c r="D101" s="12" t="str">
        <f>"KT000099"</f>
        <v>KT000099</v>
      </c>
      <c r="E101" s="12" t="str">
        <f>"MEDIQ MEDECO"</f>
        <v>MEDIQ MEDECO</v>
      </c>
      <c r="F101" s="12" t="str">
        <f>"Brandpuntlaan Zuid 14"</f>
        <v>Brandpuntlaan Zuid 14</v>
      </c>
      <c r="G101" s="12" t="str">
        <f>"NL-2665 NZ"</f>
        <v>NL-2665 NZ</v>
      </c>
      <c r="H101" s="12" t="str">
        <f>"Bleiswijk"</f>
        <v>Bleiswijk</v>
      </c>
      <c r="I101" s="12" t="str">
        <f>"KT001216"</f>
        <v>KT001216</v>
      </c>
      <c r="J101" s="12" t="str">
        <f>"Mediq Suisse AG"</f>
        <v>Mediq Suisse AG</v>
      </c>
      <c r="K101" s="12" t="str">
        <f>"Rosengartenstrasse 25"</f>
        <v>Rosengartenstrasse 25</v>
      </c>
      <c r="L101" s="12" t="str">
        <f>"CH-8608"</f>
        <v>CH-8608</v>
      </c>
      <c r="M101" s="12" t="str">
        <f>"Bubikon"</f>
        <v>Bubikon</v>
      </c>
      <c r="N101" s="12" t="str">
        <f>"CHRN-AR-20001658"</f>
        <v>CHRN-AR-20001658</v>
      </c>
      <c r="O101" s="12" t="str">
        <f>"KT001216"</f>
        <v>KT001216</v>
      </c>
      <c r="P101" s="13" t="str">
        <f>"Mediq Suisse AG"</f>
        <v>Mediq Suisse AG</v>
      </c>
    </row>
    <row r="102" spans="1:16" x14ac:dyDescent="0.15">
      <c r="A102" s="11" t="str">
        <f>"2210.0"</f>
        <v>2210.0</v>
      </c>
      <c r="B102" s="12" t="str">
        <f>"Klinion Isoliermantel|Nonwoven|blau|M"</f>
        <v>Klinion Isoliermantel|Nonwoven|blau|M</v>
      </c>
      <c r="C102" s="12" t="str">
        <f>"MDR Risikoklasse I"</f>
        <v>MDR Risikoklasse I</v>
      </c>
      <c r="D102" s="12" t="str">
        <f>"KT000099"</f>
        <v>KT000099</v>
      </c>
      <c r="E102" s="12" t="str">
        <f>"MEDIQ MEDECO"</f>
        <v>MEDIQ MEDECO</v>
      </c>
      <c r="F102" s="12" t="str">
        <f>"Brandpuntlaan Zuid 14"</f>
        <v>Brandpuntlaan Zuid 14</v>
      </c>
      <c r="G102" s="12" t="str">
        <f>"NL-2665 NZ"</f>
        <v>NL-2665 NZ</v>
      </c>
      <c r="H102" s="12" t="str">
        <f>"Bleiswijk"</f>
        <v>Bleiswijk</v>
      </c>
      <c r="I102" s="12" t="str">
        <f>"KT001216"</f>
        <v>KT001216</v>
      </c>
      <c r="J102" s="12" t="str">
        <f>"Mediq Suisse AG"</f>
        <v>Mediq Suisse AG</v>
      </c>
      <c r="K102" s="12" t="str">
        <f>"Rosengartenstrasse 25"</f>
        <v>Rosengartenstrasse 25</v>
      </c>
      <c r="L102" s="12" t="str">
        <f>"CH-8608"</f>
        <v>CH-8608</v>
      </c>
      <c r="M102" s="12" t="str">
        <f>"Bubikon"</f>
        <v>Bubikon</v>
      </c>
      <c r="N102" s="12" t="str">
        <f>"CHRN-AR-20001658"</f>
        <v>CHRN-AR-20001658</v>
      </c>
      <c r="O102" s="12" t="str">
        <f>"KT001216"</f>
        <v>KT001216</v>
      </c>
      <c r="P102" s="13" t="str">
        <f>"Mediq Suisse AG"</f>
        <v>Mediq Suisse AG</v>
      </c>
    </row>
    <row r="103" spans="1:16" x14ac:dyDescent="0.15">
      <c r="A103" s="11" t="str">
        <f>"2220.0"</f>
        <v>2220.0</v>
      </c>
      <c r="B103" s="12" t="str">
        <f>"Klinion Besuchermantel|Nonwoven|weiss"</f>
        <v>Klinion Besuchermantel|Nonwoven|weiss</v>
      </c>
      <c r="C103" s="12" t="str">
        <f>"MDR Risikoklasse I"</f>
        <v>MDR Risikoklasse I</v>
      </c>
      <c r="D103" s="12" t="str">
        <f>"KT000099"</f>
        <v>KT000099</v>
      </c>
      <c r="E103" s="12" t="str">
        <f>"MEDIQ MEDECO"</f>
        <v>MEDIQ MEDECO</v>
      </c>
      <c r="F103" s="12" t="str">
        <f>"Brandpuntlaan Zuid 14"</f>
        <v>Brandpuntlaan Zuid 14</v>
      </c>
      <c r="G103" s="12" t="str">
        <f>"NL-2665 NZ"</f>
        <v>NL-2665 NZ</v>
      </c>
      <c r="H103" s="12" t="str">
        <f>"Bleiswijk"</f>
        <v>Bleiswijk</v>
      </c>
      <c r="I103" s="12" t="str">
        <f>"KT001216"</f>
        <v>KT001216</v>
      </c>
      <c r="J103" s="12" t="str">
        <f>"Mediq Suisse AG"</f>
        <v>Mediq Suisse AG</v>
      </c>
      <c r="K103" s="12" t="str">
        <f>"Rosengartenstrasse 25"</f>
        <v>Rosengartenstrasse 25</v>
      </c>
      <c r="L103" s="12" t="str">
        <f>"CH-8608"</f>
        <v>CH-8608</v>
      </c>
      <c r="M103" s="12" t="str">
        <f>"Bubikon"</f>
        <v>Bubikon</v>
      </c>
      <c r="N103" s="12" t="str">
        <f>"CHRN-AR-20001658"</f>
        <v>CHRN-AR-20001658</v>
      </c>
      <c r="O103" s="12" t="str">
        <f>"KT001216"</f>
        <v>KT001216</v>
      </c>
      <c r="P103" s="13" t="str">
        <f>"Mediq Suisse AG"</f>
        <v>Mediq Suisse AG</v>
      </c>
    </row>
    <row r="104" spans="1:16" x14ac:dyDescent="0.15">
      <c r="A104" s="11" t="str">
        <f>"2240.0"</f>
        <v>2240.0</v>
      </c>
      <c r="B104" s="12" t="str">
        <f>"Klinion Isoliermantel|Nonwoven + PE-Schicht|gelb|M"</f>
        <v>Klinion Isoliermantel|Nonwoven + PE-Schicht|gelb|M</v>
      </c>
      <c r="C104" s="12" t="str">
        <f>"MDR Risikoklasse I"</f>
        <v>MDR Risikoklasse I</v>
      </c>
      <c r="D104" s="12" t="str">
        <f>"KT000099"</f>
        <v>KT000099</v>
      </c>
      <c r="E104" s="12" t="str">
        <f>"MEDIQ MEDECO"</f>
        <v>MEDIQ MEDECO</v>
      </c>
      <c r="F104" s="12" t="str">
        <f>"Brandpuntlaan Zuid 14"</f>
        <v>Brandpuntlaan Zuid 14</v>
      </c>
      <c r="G104" s="12" t="str">
        <f>"NL-2665 NZ"</f>
        <v>NL-2665 NZ</v>
      </c>
      <c r="H104" s="12" t="str">
        <f>"Bleiswijk"</f>
        <v>Bleiswijk</v>
      </c>
      <c r="I104" s="12" t="str">
        <f>"KT001216"</f>
        <v>KT001216</v>
      </c>
      <c r="J104" s="12" t="str">
        <f>"Mediq Suisse AG"</f>
        <v>Mediq Suisse AG</v>
      </c>
      <c r="K104" s="12" t="str">
        <f>"Rosengartenstrasse 25"</f>
        <v>Rosengartenstrasse 25</v>
      </c>
      <c r="L104" s="12" t="str">
        <f>"CH-8608"</f>
        <v>CH-8608</v>
      </c>
      <c r="M104" s="12" t="str">
        <f>"Bubikon"</f>
        <v>Bubikon</v>
      </c>
      <c r="N104" s="12" t="str">
        <f>"CHRN-AR-20001658"</f>
        <v>CHRN-AR-20001658</v>
      </c>
      <c r="O104" s="12" t="str">
        <f>"KT001216"</f>
        <v>KT001216</v>
      </c>
      <c r="P104" s="13" t="str">
        <f>"Mediq Suisse AG"</f>
        <v>Mediq Suisse AG</v>
      </c>
    </row>
    <row r="105" spans="1:16" x14ac:dyDescent="0.15">
      <c r="A105" s="11" t="str">
        <f>"2250.0"</f>
        <v>2250.0</v>
      </c>
      <c r="B105" s="12" t="str">
        <f>"Klinion Isoliermantel|Nonwoven + PE-Schicht|gelb|L"</f>
        <v>Klinion Isoliermantel|Nonwoven + PE-Schicht|gelb|L</v>
      </c>
      <c r="C105" s="12" t="str">
        <f>"MDR Risikoklasse I"</f>
        <v>MDR Risikoklasse I</v>
      </c>
      <c r="D105" s="12" t="str">
        <f>"KT000099"</f>
        <v>KT000099</v>
      </c>
      <c r="E105" s="12" t="str">
        <f>"MEDIQ MEDECO"</f>
        <v>MEDIQ MEDECO</v>
      </c>
      <c r="F105" s="12" t="str">
        <f>"Brandpuntlaan Zuid 14"</f>
        <v>Brandpuntlaan Zuid 14</v>
      </c>
      <c r="G105" s="12" t="str">
        <f>"NL-2665 NZ"</f>
        <v>NL-2665 NZ</v>
      </c>
      <c r="H105" s="12" t="str">
        <f>"Bleiswijk"</f>
        <v>Bleiswijk</v>
      </c>
      <c r="I105" s="12" t="str">
        <f>"KT001216"</f>
        <v>KT001216</v>
      </c>
      <c r="J105" s="12" t="str">
        <f>"Mediq Suisse AG"</f>
        <v>Mediq Suisse AG</v>
      </c>
      <c r="K105" s="12" t="str">
        <f>"Rosengartenstrasse 25"</f>
        <v>Rosengartenstrasse 25</v>
      </c>
      <c r="L105" s="12" t="str">
        <f>"CH-8608"</f>
        <v>CH-8608</v>
      </c>
      <c r="M105" s="12" t="str">
        <f>"Bubikon"</f>
        <v>Bubikon</v>
      </c>
      <c r="N105" s="12" t="str">
        <f>"CHRN-AR-20001658"</f>
        <v>CHRN-AR-20001658</v>
      </c>
      <c r="O105" s="12" t="str">
        <f>"KT001216"</f>
        <v>KT001216</v>
      </c>
      <c r="P105" s="13" t="str">
        <f>"Mediq Suisse AG"</f>
        <v>Mediq Suisse AG</v>
      </c>
    </row>
    <row r="106" spans="1:16" x14ac:dyDescent="0.15">
      <c r="A106" s="11" t="str">
        <f>"2320.0"</f>
        <v>2320.0</v>
      </c>
      <c r="B106" s="12" t="str">
        <f>"Klinion Hauben gefaltet|Nonwoven|weiss"</f>
        <v>Klinion Hauben gefaltet|Nonwoven|weiss</v>
      </c>
      <c r="C106" s="12" t="str">
        <f>"MDR Risikoklasse I"</f>
        <v>MDR Risikoklasse I</v>
      </c>
      <c r="D106" s="12" t="str">
        <f>"KT000099"</f>
        <v>KT000099</v>
      </c>
      <c r="E106" s="12" t="str">
        <f>"MEDIQ MEDECO"</f>
        <v>MEDIQ MEDECO</v>
      </c>
      <c r="F106" s="12" t="str">
        <f>"Brandpuntlaan Zuid 14"</f>
        <v>Brandpuntlaan Zuid 14</v>
      </c>
      <c r="G106" s="12" t="str">
        <f>"NL-2665 NZ"</f>
        <v>NL-2665 NZ</v>
      </c>
      <c r="H106" s="12" t="str">
        <f>"Bleiswijk"</f>
        <v>Bleiswijk</v>
      </c>
      <c r="I106" s="12" t="str">
        <f>"KT001216"</f>
        <v>KT001216</v>
      </c>
      <c r="J106" s="12" t="str">
        <f>"Mediq Suisse AG"</f>
        <v>Mediq Suisse AG</v>
      </c>
      <c r="K106" s="12" t="str">
        <f>"Rosengartenstrasse 25"</f>
        <v>Rosengartenstrasse 25</v>
      </c>
      <c r="L106" s="12" t="str">
        <f>"CH-8608"</f>
        <v>CH-8608</v>
      </c>
      <c r="M106" s="12" t="str">
        <f>"Bubikon"</f>
        <v>Bubikon</v>
      </c>
      <c r="N106" s="12" t="str">
        <f>"CHRN-AR-20001658"</f>
        <v>CHRN-AR-20001658</v>
      </c>
      <c r="O106" s="12" t="str">
        <f>"KT001216"</f>
        <v>KT001216</v>
      </c>
      <c r="P106" s="13" t="str">
        <f>"Mediq Suisse AG"</f>
        <v>Mediq Suisse AG</v>
      </c>
    </row>
    <row r="107" spans="1:16" x14ac:dyDescent="0.15">
      <c r="A107" s="11" t="str">
        <f>"2610.0"</f>
        <v>2610.0</v>
      </c>
      <c r="B107" s="12" t="str">
        <f>"Klinion Schuhüberzüge|Polyethylen|blau"</f>
        <v>Klinion Schuhüberzüge|Polyethylen|blau</v>
      </c>
      <c r="C107" s="12" t="str">
        <f>"MDR Risikoklasse I"</f>
        <v>MDR Risikoklasse I</v>
      </c>
      <c r="D107" s="12" t="str">
        <f>"KT000099"</f>
        <v>KT000099</v>
      </c>
      <c r="E107" s="12" t="str">
        <f>"MEDIQ MEDECO"</f>
        <v>MEDIQ MEDECO</v>
      </c>
      <c r="F107" s="12" t="str">
        <f>"Brandpuntlaan Zuid 14"</f>
        <v>Brandpuntlaan Zuid 14</v>
      </c>
      <c r="G107" s="12" t="str">
        <f>"NL-2665 NZ"</f>
        <v>NL-2665 NZ</v>
      </c>
      <c r="H107" s="12" t="str">
        <f>"Bleiswijk"</f>
        <v>Bleiswijk</v>
      </c>
      <c r="I107" s="12" t="str">
        <f>"KT001216"</f>
        <v>KT001216</v>
      </c>
      <c r="J107" s="12" t="str">
        <f>"Mediq Suisse AG"</f>
        <v>Mediq Suisse AG</v>
      </c>
      <c r="K107" s="12" t="str">
        <f>"Rosengartenstrasse 25"</f>
        <v>Rosengartenstrasse 25</v>
      </c>
      <c r="L107" s="12" t="str">
        <f>"CH-8608"</f>
        <v>CH-8608</v>
      </c>
      <c r="M107" s="12" t="str">
        <f>"Bubikon"</f>
        <v>Bubikon</v>
      </c>
      <c r="N107" s="12" t="str">
        <f>"CHRN-AR-20001658"</f>
        <v>CHRN-AR-20001658</v>
      </c>
      <c r="O107" s="12" t="str">
        <f>"KT001216"</f>
        <v>KT001216</v>
      </c>
      <c r="P107" s="13" t="str">
        <f>"Mediq Suisse AG"</f>
        <v>Mediq Suisse AG</v>
      </c>
    </row>
    <row r="108" spans="1:16" x14ac:dyDescent="0.15">
      <c r="A108" s="11" t="str">
        <f>"2612.0"</f>
        <v>2612.0</v>
      </c>
      <c r="B108" s="12" t="str">
        <f>"Insuflon subkutane Verweilkanüle"</f>
        <v>Insuflon subkutane Verweilkanüle</v>
      </c>
      <c r="C108" s="12" t="str">
        <f>"MDR Risikoklasse IIb"</f>
        <v>MDR Risikoklasse IIb</v>
      </c>
      <c r="D108" s="12" t="str">
        <f>"KT000099"</f>
        <v>KT000099</v>
      </c>
      <c r="E108" s="12" t="str">
        <f>"MEDIQ MEDECO"</f>
        <v>MEDIQ MEDECO</v>
      </c>
      <c r="F108" s="12" t="str">
        <f>"Brandpuntlaan Zuid 14"</f>
        <v>Brandpuntlaan Zuid 14</v>
      </c>
      <c r="G108" s="12" t="str">
        <f>"NL-2665 NZ"</f>
        <v>NL-2665 NZ</v>
      </c>
      <c r="H108" s="12" t="str">
        <f>"Bleiswijk"</f>
        <v>Bleiswijk</v>
      </c>
      <c r="I108" s="12" t="str">
        <f>"KT001216"</f>
        <v>KT001216</v>
      </c>
      <c r="J108" s="12" t="str">
        <f>"Mediq Suisse AG"</f>
        <v>Mediq Suisse AG</v>
      </c>
      <c r="K108" s="12" t="str">
        <f>"Rosengartenstrasse 25"</f>
        <v>Rosengartenstrasse 25</v>
      </c>
      <c r="L108" s="12" t="str">
        <f>"CH-8608"</f>
        <v>CH-8608</v>
      </c>
      <c r="M108" s="12" t="str">
        <f>"Bubikon"</f>
        <v>Bubikon</v>
      </c>
      <c r="N108" s="12" t="str">
        <f>"CHRN-AR-20001658"</f>
        <v>CHRN-AR-20001658</v>
      </c>
      <c r="O108" s="12" t="str">
        <f>"KT001216"</f>
        <v>KT001216</v>
      </c>
      <c r="P108" s="13" t="str">
        <f>"Mediq Suisse AG"</f>
        <v>Mediq Suisse AG</v>
      </c>
    </row>
    <row r="109" spans="1:16" x14ac:dyDescent="0.15">
      <c r="A109" s="11" t="str">
        <f>"323451-11.01.P68"</f>
        <v>323451-11.01.P68</v>
      </c>
      <c r="B109" s="12" t="str">
        <f>"Pretty Soft Fixierhose XXXL"</f>
        <v>Pretty Soft Fixierhose XXXL</v>
      </c>
      <c r="C109" s="12" t="str">
        <f>"MDR Risikoklasse I"</f>
        <v>MDR Risikoklasse I</v>
      </c>
      <c r="D109" s="12" t="str">
        <f>"KT005666"</f>
        <v>KT005666</v>
      </c>
      <c r="E109" s="12" t="str">
        <f>"Tytex A/S"</f>
        <v>Tytex A/S</v>
      </c>
      <c r="F109" s="12" t="str">
        <f>"Industrivej 21"</f>
        <v>Industrivej 21</v>
      </c>
      <c r="G109" s="12" t="str">
        <f>"DK-7430"</f>
        <v>DK-7430</v>
      </c>
      <c r="H109" s="12" t="str">
        <f>"Ikast"</f>
        <v>Ikast</v>
      </c>
      <c r="I109" s="12" t="str">
        <f>"KT005667"</f>
        <v>KT005667</v>
      </c>
      <c r="J109" s="12" t="str">
        <f>"Best Care Consulting GmbH"</f>
        <v>Best Care Consulting GmbH</v>
      </c>
      <c r="K109" s="12" t="str">
        <f>"Kehlhofrain 12a"</f>
        <v>Kehlhofrain 12a</v>
      </c>
      <c r="L109" s="12" t="str">
        <f>"CH-6043"</f>
        <v>CH-6043</v>
      </c>
      <c r="M109" s="12" t="str">
        <f>"Adligenswil"</f>
        <v>Adligenswil</v>
      </c>
      <c r="N109" s="12" t="str">
        <f>"CHRN-AR-20000865"</f>
        <v>CHRN-AR-20000865</v>
      </c>
      <c r="O109" s="12" t="str">
        <f>"KT001216"</f>
        <v>KT001216</v>
      </c>
      <c r="P109" s="13" t="str">
        <f>"Mediq Suisse AG"</f>
        <v>Mediq Suisse AG</v>
      </c>
    </row>
    <row r="110" spans="1:16" x14ac:dyDescent="0.15">
      <c r="A110" s="11" t="str">
        <f>"324650-01.01"</f>
        <v>324650-01.01</v>
      </c>
      <c r="B110" s="12" t="str">
        <f>"Soft Support Fixierhose S"</f>
        <v>Soft Support Fixierhose S</v>
      </c>
      <c r="C110" s="12" t="str">
        <f>"MDR Risikoklasse I"</f>
        <v>MDR Risikoklasse I</v>
      </c>
      <c r="D110" s="12" t="str">
        <f>"KT005666"</f>
        <v>KT005666</v>
      </c>
      <c r="E110" s="12" t="str">
        <f>"Tytex A/S"</f>
        <v>Tytex A/S</v>
      </c>
      <c r="F110" s="12" t="str">
        <f>"Industrivej 21"</f>
        <v>Industrivej 21</v>
      </c>
      <c r="G110" s="12" t="str">
        <f>"DK-7430"</f>
        <v>DK-7430</v>
      </c>
      <c r="H110" s="12" t="str">
        <f>"Ikast"</f>
        <v>Ikast</v>
      </c>
      <c r="I110" s="12" t="str">
        <f>"KT005667"</f>
        <v>KT005667</v>
      </c>
      <c r="J110" s="12" t="str">
        <f>"Best Care Consulting GmbH"</f>
        <v>Best Care Consulting GmbH</v>
      </c>
      <c r="K110" s="12" t="str">
        <f>"Kehlhofrain 12a"</f>
        <v>Kehlhofrain 12a</v>
      </c>
      <c r="L110" s="12" t="str">
        <f>"CH-6043"</f>
        <v>CH-6043</v>
      </c>
      <c r="M110" s="12" t="str">
        <f>"Adligenswil"</f>
        <v>Adligenswil</v>
      </c>
      <c r="N110" s="12" t="str">
        <f>"CHRN-AR-20000865"</f>
        <v>CHRN-AR-20000865</v>
      </c>
      <c r="O110" s="12" t="str">
        <f>"KT001216"</f>
        <v>KT001216</v>
      </c>
      <c r="P110" s="13" t="str">
        <f>"Mediq Suisse AG"</f>
        <v>Mediq Suisse AG</v>
      </c>
    </row>
    <row r="111" spans="1:16" x14ac:dyDescent="0.15">
      <c r="A111" s="11" t="str">
        <f>"324650-03.01"</f>
        <v>324650-03.01</v>
      </c>
      <c r="B111" s="12" t="str">
        <f>"Soft Support Fixierhose M"</f>
        <v>Soft Support Fixierhose M</v>
      </c>
      <c r="C111" s="12" t="str">
        <f>"MDR Risikoklasse I"</f>
        <v>MDR Risikoklasse I</v>
      </c>
      <c r="D111" s="12" t="str">
        <f>"KT005666"</f>
        <v>KT005666</v>
      </c>
      <c r="E111" s="12" t="str">
        <f>"Tytex A/S"</f>
        <v>Tytex A/S</v>
      </c>
      <c r="F111" s="12" t="str">
        <f>"Industrivej 21"</f>
        <v>Industrivej 21</v>
      </c>
      <c r="G111" s="12" t="str">
        <f>"DK-7430"</f>
        <v>DK-7430</v>
      </c>
      <c r="H111" s="12" t="str">
        <f>"Ikast"</f>
        <v>Ikast</v>
      </c>
      <c r="I111" s="12" t="str">
        <f>"KT005667"</f>
        <v>KT005667</v>
      </c>
      <c r="J111" s="12" t="str">
        <f>"Best Care Consulting GmbH"</f>
        <v>Best Care Consulting GmbH</v>
      </c>
      <c r="K111" s="12" t="str">
        <f>"Kehlhofrain 12a"</f>
        <v>Kehlhofrain 12a</v>
      </c>
      <c r="L111" s="12" t="str">
        <f>"CH-6043"</f>
        <v>CH-6043</v>
      </c>
      <c r="M111" s="12" t="str">
        <f>"Adligenswil"</f>
        <v>Adligenswil</v>
      </c>
      <c r="N111" s="12" t="str">
        <f>"CHRN-AR-20000865"</f>
        <v>CHRN-AR-20000865</v>
      </c>
      <c r="O111" s="12" t="str">
        <f>"KT001216"</f>
        <v>KT001216</v>
      </c>
      <c r="P111" s="13" t="str">
        <f>"Mediq Suisse AG"</f>
        <v>Mediq Suisse AG</v>
      </c>
    </row>
    <row r="112" spans="1:16" x14ac:dyDescent="0.15">
      <c r="A112" s="11" t="str">
        <f>"324650-05.01"</f>
        <v>324650-05.01</v>
      </c>
      <c r="B112" s="12" t="str">
        <f>"Soft Support Fixierhose L"</f>
        <v>Soft Support Fixierhose L</v>
      </c>
      <c r="C112" s="12" t="str">
        <f>"MDR Risikoklasse I"</f>
        <v>MDR Risikoklasse I</v>
      </c>
      <c r="D112" s="12" t="str">
        <f>"KT005666"</f>
        <v>KT005666</v>
      </c>
      <c r="E112" s="12" t="str">
        <f>"Tytex A/S"</f>
        <v>Tytex A/S</v>
      </c>
      <c r="F112" s="12" t="str">
        <f>"Industrivej 21"</f>
        <v>Industrivej 21</v>
      </c>
      <c r="G112" s="12" t="str">
        <f>"DK-7430"</f>
        <v>DK-7430</v>
      </c>
      <c r="H112" s="12" t="str">
        <f>"Ikast"</f>
        <v>Ikast</v>
      </c>
      <c r="I112" s="12" t="str">
        <f>"KT005667"</f>
        <v>KT005667</v>
      </c>
      <c r="J112" s="12" t="str">
        <f>"Best Care Consulting GmbH"</f>
        <v>Best Care Consulting GmbH</v>
      </c>
      <c r="K112" s="12" t="str">
        <f>"Kehlhofrain 12a"</f>
        <v>Kehlhofrain 12a</v>
      </c>
      <c r="L112" s="12" t="str">
        <f>"CH-6043"</f>
        <v>CH-6043</v>
      </c>
      <c r="M112" s="12" t="str">
        <f>"Adligenswil"</f>
        <v>Adligenswil</v>
      </c>
      <c r="N112" s="12" t="str">
        <f>"CHRN-AR-20000865"</f>
        <v>CHRN-AR-20000865</v>
      </c>
      <c r="O112" s="12" t="str">
        <f>"KT001216"</f>
        <v>KT001216</v>
      </c>
      <c r="P112" s="13" t="str">
        <f>"Mediq Suisse AG"</f>
        <v>Mediq Suisse AG</v>
      </c>
    </row>
    <row r="113" spans="1:16" x14ac:dyDescent="0.15">
      <c r="A113" s="11" t="str">
        <f>"324650-07.01"</f>
        <v>324650-07.01</v>
      </c>
      <c r="B113" s="12" t="str">
        <f>"Soft Support Fixierhose XL"</f>
        <v>Soft Support Fixierhose XL</v>
      </c>
      <c r="C113" s="12" t="str">
        <f>"MDR Risikoklasse I"</f>
        <v>MDR Risikoklasse I</v>
      </c>
      <c r="D113" s="12" t="str">
        <f>"KT005666"</f>
        <v>KT005666</v>
      </c>
      <c r="E113" s="12" t="str">
        <f>"Tytex A/S"</f>
        <v>Tytex A/S</v>
      </c>
      <c r="F113" s="12" t="str">
        <f>"Industrivej 21"</f>
        <v>Industrivej 21</v>
      </c>
      <c r="G113" s="12" t="str">
        <f>"DK-7430"</f>
        <v>DK-7430</v>
      </c>
      <c r="H113" s="12" t="str">
        <f>"Ikast"</f>
        <v>Ikast</v>
      </c>
      <c r="I113" s="12" t="str">
        <f>"KT005667"</f>
        <v>KT005667</v>
      </c>
      <c r="J113" s="12" t="str">
        <f>"Best Care Consulting GmbH"</f>
        <v>Best Care Consulting GmbH</v>
      </c>
      <c r="K113" s="12" t="str">
        <f>"Kehlhofrain 12a"</f>
        <v>Kehlhofrain 12a</v>
      </c>
      <c r="L113" s="12" t="str">
        <f>"CH-6043"</f>
        <v>CH-6043</v>
      </c>
      <c r="M113" s="12" t="str">
        <f>"Adligenswil"</f>
        <v>Adligenswil</v>
      </c>
      <c r="N113" s="12" t="str">
        <f>"CHRN-AR-20000865"</f>
        <v>CHRN-AR-20000865</v>
      </c>
      <c r="O113" s="12" t="str">
        <f>"KT001216"</f>
        <v>KT001216</v>
      </c>
      <c r="P113" s="13" t="str">
        <f>"Mediq Suisse AG"</f>
        <v>Mediq Suisse AG</v>
      </c>
    </row>
    <row r="114" spans="1:16" x14ac:dyDescent="0.15">
      <c r="A114" s="11" t="str">
        <f>"324650-09.01"</f>
        <v>324650-09.01</v>
      </c>
      <c r="B114" s="12" t="str">
        <f>"Soft Support Fixierhose XXL"</f>
        <v>Soft Support Fixierhose XXL</v>
      </c>
      <c r="C114" s="12" t="str">
        <f>"MDR Risikoklasse I"</f>
        <v>MDR Risikoklasse I</v>
      </c>
      <c r="D114" s="12" t="str">
        <f>"KT005666"</f>
        <v>KT005666</v>
      </c>
      <c r="E114" s="12" t="str">
        <f>"Tytex A/S"</f>
        <v>Tytex A/S</v>
      </c>
      <c r="F114" s="12" t="str">
        <f>"Industrivej 21"</f>
        <v>Industrivej 21</v>
      </c>
      <c r="G114" s="12" t="str">
        <f>"DK-7430"</f>
        <v>DK-7430</v>
      </c>
      <c r="H114" s="12" t="str">
        <f>"Ikast"</f>
        <v>Ikast</v>
      </c>
      <c r="I114" s="12" t="str">
        <f>"KT005667"</f>
        <v>KT005667</v>
      </c>
      <c r="J114" s="12" t="str">
        <f>"Best Care Consulting GmbH"</f>
        <v>Best Care Consulting GmbH</v>
      </c>
      <c r="K114" s="12" t="str">
        <f>"Kehlhofrain 12a"</f>
        <v>Kehlhofrain 12a</v>
      </c>
      <c r="L114" s="12" t="str">
        <f>"CH-6043"</f>
        <v>CH-6043</v>
      </c>
      <c r="M114" s="12" t="str">
        <f>"Adligenswil"</f>
        <v>Adligenswil</v>
      </c>
      <c r="N114" s="12" t="str">
        <f>"CHRN-AR-20000865"</f>
        <v>CHRN-AR-20000865</v>
      </c>
      <c r="O114" s="12" t="str">
        <f>"KT001216"</f>
        <v>KT001216</v>
      </c>
      <c r="P114" s="13" t="str">
        <f>"Mediq Suisse AG"</f>
        <v>Mediq Suisse AG</v>
      </c>
    </row>
    <row r="115" spans="1:16" x14ac:dyDescent="0.15">
      <c r="A115" s="11" t="str">
        <f>"324650-11.01"</f>
        <v>324650-11.01</v>
      </c>
      <c r="B115" s="12" t="str">
        <f>"Soft Support Fixierhose XXXL"</f>
        <v>Soft Support Fixierhose XXXL</v>
      </c>
      <c r="C115" s="12" t="str">
        <f>"MDR Risikoklasse I"</f>
        <v>MDR Risikoklasse I</v>
      </c>
      <c r="D115" s="12" t="str">
        <f>"KT005666"</f>
        <v>KT005666</v>
      </c>
      <c r="E115" s="12" t="str">
        <f>"Tytex A/S"</f>
        <v>Tytex A/S</v>
      </c>
      <c r="F115" s="12" t="str">
        <f>"Industrivej 21"</f>
        <v>Industrivej 21</v>
      </c>
      <c r="G115" s="12" t="str">
        <f>"DK-7430"</f>
        <v>DK-7430</v>
      </c>
      <c r="H115" s="12" t="str">
        <f>"Ikast"</f>
        <v>Ikast</v>
      </c>
      <c r="I115" s="12" t="str">
        <f>"KT005667"</f>
        <v>KT005667</v>
      </c>
      <c r="J115" s="12" t="str">
        <f>"Best Care Consulting GmbH"</f>
        <v>Best Care Consulting GmbH</v>
      </c>
      <c r="K115" s="12" t="str">
        <f>"Kehlhofrain 12a"</f>
        <v>Kehlhofrain 12a</v>
      </c>
      <c r="L115" s="12" t="str">
        <f>"CH-6043"</f>
        <v>CH-6043</v>
      </c>
      <c r="M115" s="12" t="str">
        <f>"Adligenswil"</f>
        <v>Adligenswil</v>
      </c>
      <c r="N115" s="12" t="str">
        <f>"CHRN-AR-20000865"</f>
        <v>CHRN-AR-20000865</v>
      </c>
      <c r="O115" s="12" t="str">
        <f>"KT001216"</f>
        <v>KT001216</v>
      </c>
      <c r="P115" s="13" t="str">
        <f>"Mediq Suisse AG"</f>
        <v>Mediq Suisse AG</v>
      </c>
    </row>
    <row r="116" spans="1:16" x14ac:dyDescent="0.15">
      <c r="A116" s="11" t="str">
        <f>"333025"</f>
        <v>333025</v>
      </c>
      <c r="B116" s="12" t="str">
        <f>"Urinal-Kondom|Silikon|25mm¦mit Abdecktuch"</f>
        <v>Urinal-Kondom|Silikon|25mm¦mit Abdecktuch</v>
      </c>
      <c r="C116" s="12" t="str">
        <f>"MDR Risikoklasse I"</f>
        <v>MDR Risikoklasse I</v>
      </c>
      <c r="D116" s="12" t="str">
        <f>"KT000099"</f>
        <v>KT000099</v>
      </c>
      <c r="E116" s="12" t="str">
        <f>"MEDIQ MEDECO"</f>
        <v>MEDIQ MEDECO</v>
      </c>
      <c r="F116" s="12" t="str">
        <f>"Brandpuntlaan Zuid 14"</f>
        <v>Brandpuntlaan Zuid 14</v>
      </c>
      <c r="G116" s="12" t="str">
        <f>"NL-2665 NZ"</f>
        <v>NL-2665 NZ</v>
      </c>
      <c r="H116" s="12" t="str">
        <f>"Bleiswijk"</f>
        <v>Bleiswijk</v>
      </c>
      <c r="I116" s="12" t="str">
        <f>"KT001216"</f>
        <v>KT001216</v>
      </c>
      <c r="J116" s="12" t="str">
        <f>"Mediq Suisse AG"</f>
        <v>Mediq Suisse AG</v>
      </c>
      <c r="K116" s="12" t="str">
        <f>"Rosengartenstrasse 25"</f>
        <v>Rosengartenstrasse 25</v>
      </c>
      <c r="L116" s="12" t="str">
        <f>"CH-8608"</f>
        <v>CH-8608</v>
      </c>
      <c r="M116" s="12" t="str">
        <f>"Bubikon"</f>
        <v>Bubikon</v>
      </c>
      <c r="N116" s="12" t="str">
        <f>"CHRN-AR-20001658"</f>
        <v>CHRN-AR-20001658</v>
      </c>
      <c r="O116" s="12" t="str">
        <f>"KT001216"</f>
        <v>KT001216</v>
      </c>
      <c r="P116" s="13" t="str">
        <f>"Mediq Suisse AG"</f>
        <v>Mediq Suisse AG</v>
      </c>
    </row>
    <row r="117" spans="1:16" x14ac:dyDescent="0.15">
      <c r="A117" s="11" t="str">
        <f>"333029"</f>
        <v>333029</v>
      </c>
      <c r="B117" s="12" t="str">
        <f>"Urinal-Kondom|Silikon|29mm|mit Abdecktuch"</f>
        <v>Urinal-Kondom|Silikon|29mm|mit Abdecktuch</v>
      </c>
      <c r="C117" s="12" t="str">
        <f>"MDR Risikoklasse I"</f>
        <v>MDR Risikoklasse I</v>
      </c>
      <c r="D117" s="12" t="str">
        <f>"KT000099"</f>
        <v>KT000099</v>
      </c>
      <c r="E117" s="12" t="str">
        <f>"MEDIQ MEDECO"</f>
        <v>MEDIQ MEDECO</v>
      </c>
      <c r="F117" s="12" t="str">
        <f>"Brandpuntlaan Zuid 14"</f>
        <v>Brandpuntlaan Zuid 14</v>
      </c>
      <c r="G117" s="12" t="str">
        <f>"NL-2665 NZ"</f>
        <v>NL-2665 NZ</v>
      </c>
      <c r="H117" s="12" t="str">
        <f>"Bleiswijk"</f>
        <v>Bleiswijk</v>
      </c>
      <c r="I117" s="12" t="str">
        <f>"KT001216"</f>
        <v>KT001216</v>
      </c>
      <c r="J117" s="12" t="str">
        <f>"Mediq Suisse AG"</f>
        <v>Mediq Suisse AG</v>
      </c>
      <c r="K117" s="12" t="str">
        <f>"Rosengartenstrasse 25"</f>
        <v>Rosengartenstrasse 25</v>
      </c>
      <c r="L117" s="12" t="str">
        <f>"CH-8608"</f>
        <v>CH-8608</v>
      </c>
      <c r="M117" s="12" t="str">
        <f>"Bubikon"</f>
        <v>Bubikon</v>
      </c>
      <c r="N117" s="12" t="str">
        <f>"CHRN-AR-20001658"</f>
        <v>CHRN-AR-20001658</v>
      </c>
      <c r="O117" s="12" t="str">
        <f>"KT001216"</f>
        <v>KT001216</v>
      </c>
      <c r="P117" s="13" t="str">
        <f>"Mediq Suisse AG"</f>
        <v>Mediq Suisse AG</v>
      </c>
    </row>
    <row r="118" spans="1:16" x14ac:dyDescent="0.15">
      <c r="A118" s="11" t="str">
        <f>"333032"</f>
        <v>333032</v>
      </c>
      <c r="B118" s="12" t="str">
        <f>"Urinal-Kondom|Silikon|32mm|mit Abdecktuch"</f>
        <v>Urinal-Kondom|Silikon|32mm|mit Abdecktuch</v>
      </c>
      <c r="C118" s="12" t="str">
        <f>"MDR Risikoklasse I"</f>
        <v>MDR Risikoklasse I</v>
      </c>
      <c r="D118" s="12" t="str">
        <f>"KT000099"</f>
        <v>KT000099</v>
      </c>
      <c r="E118" s="12" t="str">
        <f>"MEDIQ MEDECO"</f>
        <v>MEDIQ MEDECO</v>
      </c>
      <c r="F118" s="12" t="str">
        <f>"Brandpuntlaan Zuid 14"</f>
        <v>Brandpuntlaan Zuid 14</v>
      </c>
      <c r="G118" s="12" t="str">
        <f>"NL-2665 NZ"</f>
        <v>NL-2665 NZ</v>
      </c>
      <c r="H118" s="12" t="str">
        <f>"Bleiswijk"</f>
        <v>Bleiswijk</v>
      </c>
      <c r="I118" s="12" t="str">
        <f>"KT001216"</f>
        <v>KT001216</v>
      </c>
      <c r="J118" s="12" t="str">
        <f>"Mediq Suisse AG"</f>
        <v>Mediq Suisse AG</v>
      </c>
      <c r="K118" s="12" t="str">
        <f>"Rosengartenstrasse 25"</f>
        <v>Rosengartenstrasse 25</v>
      </c>
      <c r="L118" s="12" t="str">
        <f>"CH-8608"</f>
        <v>CH-8608</v>
      </c>
      <c r="M118" s="12" t="str">
        <f>"Bubikon"</f>
        <v>Bubikon</v>
      </c>
      <c r="N118" s="12" t="str">
        <f>"CHRN-AR-20001658"</f>
        <v>CHRN-AR-20001658</v>
      </c>
      <c r="O118" s="12" t="str">
        <f>"KT001216"</f>
        <v>KT001216</v>
      </c>
      <c r="P118" s="13" t="str">
        <f>"Mediq Suisse AG"</f>
        <v>Mediq Suisse AG</v>
      </c>
    </row>
    <row r="119" spans="1:16" x14ac:dyDescent="0.15">
      <c r="A119" s="11" t="str">
        <f>"333036"</f>
        <v>333036</v>
      </c>
      <c r="B119" s="12" t="str">
        <f>"Urinal-Kondom|Silikon|36mm|mit Abdecktuch"</f>
        <v>Urinal-Kondom|Silikon|36mm|mit Abdecktuch</v>
      </c>
      <c r="C119" s="12" t="str">
        <f>"MDR Risikoklasse I"</f>
        <v>MDR Risikoklasse I</v>
      </c>
      <c r="D119" s="12" t="str">
        <f>"KT000099"</f>
        <v>KT000099</v>
      </c>
      <c r="E119" s="12" t="str">
        <f>"MEDIQ MEDECO"</f>
        <v>MEDIQ MEDECO</v>
      </c>
      <c r="F119" s="12" t="str">
        <f>"Brandpuntlaan Zuid 14"</f>
        <v>Brandpuntlaan Zuid 14</v>
      </c>
      <c r="G119" s="12" t="str">
        <f>"NL-2665 NZ"</f>
        <v>NL-2665 NZ</v>
      </c>
      <c r="H119" s="12" t="str">
        <f>"Bleiswijk"</f>
        <v>Bleiswijk</v>
      </c>
      <c r="I119" s="12" t="str">
        <f>"KT001216"</f>
        <v>KT001216</v>
      </c>
      <c r="J119" s="12" t="str">
        <f>"Mediq Suisse AG"</f>
        <v>Mediq Suisse AG</v>
      </c>
      <c r="K119" s="12" t="str">
        <f>"Rosengartenstrasse 25"</f>
        <v>Rosengartenstrasse 25</v>
      </c>
      <c r="L119" s="12" t="str">
        <f>"CH-8608"</f>
        <v>CH-8608</v>
      </c>
      <c r="M119" s="12" t="str">
        <f>"Bubikon"</f>
        <v>Bubikon</v>
      </c>
      <c r="N119" s="12" t="str">
        <f>"CHRN-AR-20001658"</f>
        <v>CHRN-AR-20001658</v>
      </c>
      <c r="O119" s="12" t="str">
        <f>"KT001216"</f>
        <v>KT001216</v>
      </c>
      <c r="P119" s="13" t="str">
        <f>"Mediq Suisse AG"</f>
        <v>Mediq Suisse AG</v>
      </c>
    </row>
    <row r="120" spans="1:16" x14ac:dyDescent="0.15">
      <c r="A120" s="11" t="str">
        <f>"344151-01.01"</f>
        <v>344151-01.01</v>
      </c>
      <c r="B120" s="12" t="str">
        <f>"Incofit Panty|75% Baumwolle|Fixierhose S"</f>
        <v>Incofit Panty|75% Baumwolle|Fixierhose S</v>
      </c>
      <c r="C120" s="12" t="str">
        <f>"MDR Risikoklasse I"</f>
        <v>MDR Risikoklasse I</v>
      </c>
      <c r="D120" s="12" t="str">
        <f>"KT005666"</f>
        <v>KT005666</v>
      </c>
      <c r="E120" s="12" t="str">
        <f>"Tytex A/S"</f>
        <v>Tytex A/S</v>
      </c>
      <c r="F120" s="12" t="str">
        <f>"Industrivej 21"</f>
        <v>Industrivej 21</v>
      </c>
      <c r="G120" s="12" t="str">
        <f>"DK-7430"</f>
        <v>DK-7430</v>
      </c>
      <c r="H120" s="12" t="str">
        <f>"Ikast"</f>
        <v>Ikast</v>
      </c>
      <c r="I120" s="12" t="str">
        <f>"KT005667"</f>
        <v>KT005667</v>
      </c>
      <c r="J120" s="12" t="str">
        <f>"Best Care Consulting GmbH"</f>
        <v>Best Care Consulting GmbH</v>
      </c>
      <c r="K120" s="12" t="str">
        <f>"Kehlhofrain 12a"</f>
        <v>Kehlhofrain 12a</v>
      </c>
      <c r="L120" s="12" t="str">
        <f>"CH-6043"</f>
        <v>CH-6043</v>
      </c>
      <c r="M120" s="12" t="str">
        <f>"Adligenswil"</f>
        <v>Adligenswil</v>
      </c>
      <c r="N120" s="12" t="str">
        <f>"CHRN-AR-20000865"</f>
        <v>CHRN-AR-20000865</v>
      </c>
      <c r="O120" s="12" t="str">
        <f>"KT001216"</f>
        <v>KT001216</v>
      </c>
      <c r="P120" s="13" t="str">
        <f>"Mediq Suisse AG"</f>
        <v>Mediq Suisse AG</v>
      </c>
    </row>
    <row r="121" spans="1:16" x14ac:dyDescent="0.15">
      <c r="A121" s="11" t="str">
        <f>"344151-03.01"</f>
        <v>344151-03.01</v>
      </c>
      <c r="B121" s="12" t="str">
        <f>"Incofit Panty|75% Baumwolle|Fixierhose M"</f>
        <v>Incofit Panty|75% Baumwolle|Fixierhose M</v>
      </c>
      <c r="C121" s="12" t="str">
        <f>"MDR Risikoklasse I"</f>
        <v>MDR Risikoklasse I</v>
      </c>
      <c r="D121" s="12" t="str">
        <f>"KT005666"</f>
        <v>KT005666</v>
      </c>
      <c r="E121" s="12" t="str">
        <f>"Tytex A/S"</f>
        <v>Tytex A/S</v>
      </c>
      <c r="F121" s="12" t="str">
        <f>"Industrivej 21"</f>
        <v>Industrivej 21</v>
      </c>
      <c r="G121" s="12" t="str">
        <f>"DK-7430"</f>
        <v>DK-7430</v>
      </c>
      <c r="H121" s="12" t="str">
        <f>"Ikast"</f>
        <v>Ikast</v>
      </c>
      <c r="I121" s="12" t="str">
        <f>"KT005667"</f>
        <v>KT005667</v>
      </c>
      <c r="J121" s="12" t="str">
        <f>"Best Care Consulting GmbH"</f>
        <v>Best Care Consulting GmbH</v>
      </c>
      <c r="K121" s="12" t="str">
        <f>"Kehlhofrain 12a"</f>
        <v>Kehlhofrain 12a</v>
      </c>
      <c r="L121" s="12" t="str">
        <f>"CH-6043"</f>
        <v>CH-6043</v>
      </c>
      <c r="M121" s="12" t="str">
        <f>"Adligenswil"</f>
        <v>Adligenswil</v>
      </c>
      <c r="N121" s="12" t="str">
        <f>"CHRN-AR-20000865"</f>
        <v>CHRN-AR-20000865</v>
      </c>
      <c r="O121" s="12" t="str">
        <f>"KT001216"</f>
        <v>KT001216</v>
      </c>
      <c r="P121" s="13" t="str">
        <f>"Mediq Suisse AG"</f>
        <v>Mediq Suisse AG</v>
      </c>
    </row>
    <row r="122" spans="1:16" x14ac:dyDescent="0.15">
      <c r="A122" s="11" t="str">
        <f>"344151-05.01"</f>
        <v>344151-05.01</v>
      </c>
      <c r="B122" s="12" t="str">
        <f>"Incofit Panty|75% Baumwolle|Fixierhose L"</f>
        <v>Incofit Panty|75% Baumwolle|Fixierhose L</v>
      </c>
      <c r="C122" s="12" t="str">
        <f>"MDR Risikoklasse I"</f>
        <v>MDR Risikoklasse I</v>
      </c>
      <c r="D122" s="12" t="str">
        <f>"KT005666"</f>
        <v>KT005666</v>
      </c>
      <c r="E122" s="12" t="str">
        <f>"Tytex A/S"</f>
        <v>Tytex A/S</v>
      </c>
      <c r="F122" s="12" t="str">
        <f>"Industrivej 21"</f>
        <v>Industrivej 21</v>
      </c>
      <c r="G122" s="12" t="str">
        <f>"DK-7430"</f>
        <v>DK-7430</v>
      </c>
      <c r="H122" s="12" t="str">
        <f>"Ikast"</f>
        <v>Ikast</v>
      </c>
      <c r="I122" s="12" t="str">
        <f>"KT005667"</f>
        <v>KT005667</v>
      </c>
      <c r="J122" s="12" t="str">
        <f>"Best Care Consulting GmbH"</f>
        <v>Best Care Consulting GmbH</v>
      </c>
      <c r="K122" s="12" t="str">
        <f>"Kehlhofrain 12a"</f>
        <v>Kehlhofrain 12a</v>
      </c>
      <c r="L122" s="12" t="str">
        <f>"CH-6043"</f>
        <v>CH-6043</v>
      </c>
      <c r="M122" s="12" t="str">
        <f>"Adligenswil"</f>
        <v>Adligenswil</v>
      </c>
      <c r="N122" s="12" t="str">
        <f>"CHRN-AR-20000865"</f>
        <v>CHRN-AR-20000865</v>
      </c>
      <c r="O122" s="12" t="str">
        <f>"KT001216"</f>
        <v>KT001216</v>
      </c>
      <c r="P122" s="13" t="str">
        <f>"Mediq Suisse AG"</f>
        <v>Mediq Suisse AG</v>
      </c>
    </row>
    <row r="123" spans="1:16" x14ac:dyDescent="0.15">
      <c r="A123" s="11" t="str">
        <f>"344151-07.01"</f>
        <v>344151-07.01</v>
      </c>
      <c r="B123" s="12" t="str">
        <f>"Incofit Panty|75% Baumwolle|Fixierhose XL"</f>
        <v>Incofit Panty|75% Baumwolle|Fixierhose XL</v>
      </c>
      <c r="C123" s="12" t="str">
        <f>"MDR Risikoklasse I"</f>
        <v>MDR Risikoklasse I</v>
      </c>
      <c r="D123" s="12" t="str">
        <f>"KT005666"</f>
        <v>KT005666</v>
      </c>
      <c r="E123" s="12" t="str">
        <f>"Tytex A/S"</f>
        <v>Tytex A/S</v>
      </c>
      <c r="F123" s="12" t="str">
        <f>"Industrivej 21"</f>
        <v>Industrivej 21</v>
      </c>
      <c r="G123" s="12" t="str">
        <f>"DK-7430"</f>
        <v>DK-7430</v>
      </c>
      <c r="H123" s="12" t="str">
        <f>"Ikast"</f>
        <v>Ikast</v>
      </c>
      <c r="I123" s="12" t="str">
        <f>"KT005667"</f>
        <v>KT005667</v>
      </c>
      <c r="J123" s="12" t="str">
        <f>"Best Care Consulting GmbH"</f>
        <v>Best Care Consulting GmbH</v>
      </c>
      <c r="K123" s="12" t="str">
        <f>"Kehlhofrain 12a"</f>
        <v>Kehlhofrain 12a</v>
      </c>
      <c r="L123" s="12" t="str">
        <f>"CH-6043"</f>
        <v>CH-6043</v>
      </c>
      <c r="M123" s="12" t="str">
        <f>"Adligenswil"</f>
        <v>Adligenswil</v>
      </c>
      <c r="N123" s="12" t="str">
        <f>"CHRN-AR-20000865"</f>
        <v>CHRN-AR-20000865</v>
      </c>
      <c r="O123" s="12" t="str">
        <f>"KT001216"</f>
        <v>KT001216</v>
      </c>
      <c r="P123" s="13" t="str">
        <f>"Mediq Suisse AG"</f>
        <v>Mediq Suisse AG</v>
      </c>
    </row>
    <row r="124" spans="1:16" x14ac:dyDescent="0.15">
      <c r="A124" s="11" t="str">
        <f>"344151-09.01"</f>
        <v>344151-09.01</v>
      </c>
      <c r="B124" s="12" t="str">
        <f>"Incofit Panty|75% Baumwolle|Fixierhose XXL"</f>
        <v>Incofit Panty|75% Baumwolle|Fixierhose XXL</v>
      </c>
      <c r="C124" s="12" t="str">
        <f>"MDR Risikoklasse I"</f>
        <v>MDR Risikoklasse I</v>
      </c>
      <c r="D124" s="12" t="str">
        <f>"KT005666"</f>
        <v>KT005666</v>
      </c>
      <c r="E124" s="12" t="str">
        <f>"Tytex A/S"</f>
        <v>Tytex A/S</v>
      </c>
      <c r="F124" s="12" t="str">
        <f>"Industrivej 21"</f>
        <v>Industrivej 21</v>
      </c>
      <c r="G124" s="12" t="str">
        <f>"DK-7430"</f>
        <v>DK-7430</v>
      </c>
      <c r="H124" s="12" t="str">
        <f>"Ikast"</f>
        <v>Ikast</v>
      </c>
      <c r="I124" s="12" t="str">
        <f>"KT005667"</f>
        <v>KT005667</v>
      </c>
      <c r="J124" s="12" t="str">
        <f>"Best Care Consulting GmbH"</f>
        <v>Best Care Consulting GmbH</v>
      </c>
      <c r="K124" s="12" t="str">
        <f>"Kehlhofrain 12a"</f>
        <v>Kehlhofrain 12a</v>
      </c>
      <c r="L124" s="12" t="str">
        <f>"CH-6043"</f>
        <v>CH-6043</v>
      </c>
      <c r="M124" s="12" t="str">
        <f>"Adligenswil"</f>
        <v>Adligenswil</v>
      </c>
      <c r="N124" s="12" t="str">
        <f>"CHRN-AR-20000865"</f>
        <v>CHRN-AR-20000865</v>
      </c>
      <c r="O124" s="12" t="str">
        <f>"KT001216"</f>
        <v>KT001216</v>
      </c>
      <c r="P124" s="13" t="str">
        <f>"Mediq Suisse AG"</f>
        <v>Mediq Suisse AG</v>
      </c>
    </row>
    <row r="125" spans="1:16" x14ac:dyDescent="0.15">
      <c r="A125" s="11" t="str">
        <f>"40115500"</f>
        <v>40115500</v>
      </c>
      <c r="B125" s="12" t="str">
        <f>"Klinion Skin Adhesive|Hautleim|steril|0.5ml"</f>
        <v>Klinion Skin Adhesive|Hautleim|steril|0.5ml</v>
      </c>
      <c r="C125" s="12" t="str">
        <f>"MDR Risikoklasse IIa"</f>
        <v>MDR Risikoklasse IIa</v>
      </c>
      <c r="D125" s="12" t="str">
        <f>"KT000099"</f>
        <v>KT000099</v>
      </c>
      <c r="E125" s="12" t="str">
        <f>"MEDIQ MEDECO"</f>
        <v>MEDIQ MEDECO</v>
      </c>
      <c r="F125" s="12" t="str">
        <f>"Brandpuntlaan Zuid 14"</f>
        <v>Brandpuntlaan Zuid 14</v>
      </c>
      <c r="G125" s="12" t="str">
        <f>"NL-2665 NZ"</f>
        <v>NL-2665 NZ</v>
      </c>
      <c r="H125" s="12" t="str">
        <f>"Bleiswijk"</f>
        <v>Bleiswijk</v>
      </c>
      <c r="I125" s="12" t="str">
        <f>"KT001216"</f>
        <v>KT001216</v>
      </c>
      <c r="J125" s="12" t="str">
        <f>"Mediq Suisse AG"</f>
        <v>Mediq Suisse AG</v>
      </c>
      <c r="K125" s="12" t="str">
        <f>"Rosengartenstrasse 25"</f>
        <v>Rosengartenstrasse 25</v>
      </c>
      <c r="L125" s="12" t="str">
        <f>"CH-8608"</f>
        <v>CH-8608</v>
      </c>
      <c r="M125" s="12" t="str">
        <f>"Bubikon"</f>
        <v>Bubikon</v>
      </c>
      <c r="N125" s="12" t="str">
        <f>"CHRN-AR-20001658"</f>
        <v>CHRN-AR-20001658</v>
      </c>
      <c r="O125" s="12" t="str">
        <f>"KT001216"</f>
        <v>KT001216</v>
      </c>
      <c r="P125" s="13" t="str">
        <f>"Mediq Suisse AG"</f>
        <v>Mediq Suisse AG</v>
      </c>
    </row>
    <row r="126" spans="1:16" x14ac:dyDescent="0.15">
      <c r="A126" s="11" t="str">
        <f>"4012.0"</f>
        <v>4012.0</v>
      </c>
      <c r="B126" s="12" t="str">
        <f>"Care Short Fixierhose S"</f>
        <v>Care Short Fixierhose S</v>
      </c>
      <c r="C126" s="12" t="str">
        <f>"MDR Risikoklasse I"</f>
        <v>MDR Risikoklasse I</v>
      </c>
      <c r="D126" s="12" t="str">
        <f>"KT005666"</f>
        <v>KT005666</v>
      </c>
      <c r="E126" s="12" t="str">
        <f>"Tytex A/S"</f>
        <v>Tytex A/S</v>
      </c>
      <c r="F126" s="12" t="str">
        <f>"Industrivej 21"</f>
        <v>Industrivej 21</v>
      </c>
      <c r="G126" s="12" t="str">
        <f>"DK-7430"</f>
        <v>DK-7430</v>
      </c>
      <c r="H126" s="12" t="str">
        <f>"Ikast"</f>
        <v>Ikast</v>
      </c>
      <c r="I126" s="12" t="str">
        <f>"KT005667"</f>
        <v>KT005667</v>
      </c>
      <c r="J126" s="12" t="str">
        <f>"Best Care Consulting GmbH"</f>
        <v>Best Care Consulting GmbH</v>
      </c>
      <c r="K126" s="12" t="str">
        <f>"Kehlhofrain 12a"</f>
        <v>Kehlhofrain 12a</v>
      </c>
      <c r="L126" s="12" t="str">
        <f>"CH-6043"</f>
        <v>CH-6043</v>
      </c>
      <c r="M126" s="12" t="str">
        <f>"Adligenswil"</f>
        <v>Adligenswil</v>
      </c>
      <c r="N126" s="12" t="str">
        <f>"CHRN-AR-20000865"</f>
        <v>CHRN-AR-20000865</v>
      </c>
      <c r="O126" s="12" t="str">
        <f>"KT001216"</f>
        <v>KT001216</v>
      </c>
      <c r="P126" s="13" t="str">
        <f>"Mediq Suisse AG"</f>
        <v>Mediq Suisse AG</v>
      </c>
    </row>
    <row r="127" spans="1:16" x14ac:dyDescent="0.15">
      <c r="A127" s="11" t="str">
        <f>"4015-2"</f>
        <v>4015-2</v>
      </c>
      <c r="B127" s="12" t="str">
        <f>"Absorin Fix Extra Stretch Fixierhose S"</f>
        <v>Absorin Fix Extra Stretch Fixierhose S</v>
      </c>
      <c r="C127" s="12" t="str">
        <f>"MDR Risikoklasse I"</f>
        <v>MDR Risikoklasse I</v>
      </c>
      <c r="D127" s="12" t="str">
        <f>"KT000099"</f>
        <v>KT000099</v>
      </c>
      <c r="E127" s="12" t="str">
        <f>"MEDIQ MEDECO"</f>
        <v>MEDIQ MEDECO</v>
      </c>
      <c r="F127" s="12" t="str">
        <f>"Brandpuntlaan Zuid 14"</f>
        <v>Brandpuntlaan Zuid 14</v>
      </c>
      <c r="G127" s="12" t="str">
        <f>"NL-2665 NZ"</f>
        <v>NL-2665 NZ</v>
      </c>
      <c r="H127" s="12" t="str">
        <f>"Bleiswijk"</f>
        <v>Bleiswijk</v>
      </c>
      <c r="I127" s="12" t="str">
        <f>"KT001216"</f>
        <v>KT001216</v>
      </c>
      <c r="J127" s="12" t="str">
        <f>"Mediq Suisse AG"</f>
        <v>Mediq Suisse AG</v>
      </c>
      <c r="K127" s="12" t="str">
        <f>"Rosengartenstrasse 25"</f>
        <v>Rosengartenstrasse 25</v>
      </c>
      <c r="L127" s="12" t="str">
        <f>"CH-8608"</f>
        <v>CH-8608</v>
      </c>
      <c r="M127" s="12" t="str">
        <f>"Bubikon"</f>
        <v>Bubikon</v>
      </c>
      <c r="N127" s="12" t="str">
        <f>"CHRN-AR-20001658"</f>
        <v>CHRN-AR-20001658</v>
      </c>
      <c r="O127" s="12" t="str">
        <f>"KT001216"</f>
        <v>KT001216</v>
      </c>
      <c r="P127" s="13" t="str">
        <f>"Mediq Suisse AG"</f>
        <v>Mediq Suisse AG</v>
      </c>
    </row>
    <row r="128" spans="1:16" x14ac:dyDescent="0.15">
      <c r="A128" s="11" t="str">
        <f>"4020-2"</f>
        <v>4020-2</v>
      </c>
      <c r="B128" s="12" t="str">
        <f>"Absorin Fix Normal Stretch Fixierhose S"</f>
        <v>Absorin Fix Normal Stretch Fixierhose S</v>
      </c>
      <c r="C128" s="12" t="str">
        <f>"MDR Risikoklasse I"</f>
        <v>MDR Risikoklasse I</v>
      </c>
      <c r="D128" s="12" t="str">
        <f>"KT000099"</f>
        <v>KT000099</v>
      </c>
      <c r="E128" s="12" t="str">
        <f>"MEDIQ MEDECO"</f>
        <v>MEDIQ MEDECO</v>
      </c>
      <c r="F128" s="12" t="str">
        <f>"Brandpuntlaan Zuid 14"</f>
        <v>Brandpuntlaan Zuid 14</v>
      </c>
      <c r="G128" s="12" t="str">
        <f>"NL-2665 NZ"</f>
        <v>NL-2665 NZ</v>
      </c>
      <c r="H128" s="12" t="str">
        <f>"Bleiswijk"</f>
        <v>Bleiswijk</v>
      </c>
      <c r="I128" s="12" t="str">
        <f>"KT001216"</f>
        <v>KT001216</v>
      </c>
      <c r="J128" s="12" t="str">
        <f>"Mediq Suisse AG"</f>
        <v>Mediq Suisse AG</v>
      </c>
      <c r="K128" s="12" t="str">
        <f>"Rosengartenstrasse 25"</f>
        <v>Rosengartenstrasse 25</v>
      </c>
      <c r="L128" s="12" t="str">
        <f>"CH-8608"</f>
        <v>CH-8608</v>
      </c>
      <c r="M128" s="12" t="str">
        <f>"Bubikon"</f>
        <v>Bubikon</v>
      </c>
      <c r="N128" s="12" t="str">
        <f>"CHRN-AR-20001658"</f>
        <v>CHRN-AR-20001658</v>
      </c>
      <c r="O128" s="12" t="str">
        <f>"KT001216"</f>
        <v>KT001216</v>
      </c>
      <c r="P128" s="13" t="str">
        <f>"Mediq Suisse AG"</f>
        <v>Mediq Suisse AG</v>
      </c>
    </row>
    <row r="129" spans="1:16" x14ac:dyDescent="0.15">
      <c r="A129" s="11" t="str">
        <f>"4022.0"</f>
        <v>4022.0</v>
      </c>
      <c r="B129" s="12" t="str">
        <f>"Care Short Fixierhose M"</f>
        <v>Care Short Fixierhose M</v>
      </c>
      <c r="C129" s="12" t="str">
        <f>"MDR Risikoklasse I"</f>
        <v>MDR Risikoklasse I</v>
      </c>
      <c r="D129" s="12" t="str">
        <f>"KT005666"</f>
        <v>KT005666</v>
      </c>
      <c r="E129" s="12" t="str">
        <f>"Tytex A/S"</f>
        <v>Tytex A/S</v>
      </c>
      <c r="F129" s="12" t="str">
        <f>"Industrivej 21"</f>
        <v>Industrivej 21</v>
      </c>
      <c r="G129" s="12" t="str">
        <f>"DK-7430"</f>
        <v>DK-7430</v>
      </c>
      <c r="H129" s="12" t="str">
        <f>"Ikast"</f>
        <v>Ikast</v>
      </c>
      <c r="I129" s="12" t="str">
        <f>"KT005667"</f>
        <v>KT005667</v>
      </c>
      <c r="J129" s="12" t="str">
        <f>"Best Care Consulting GmbH"</f>
        <v>Best Care Consulting GmbH</v>
      </c>
      <c r="K129" s="12" t="str">
        <f>"Kehlhofrain 12a"</f>
        <v>Kehlhofrain 12a</v>
      </c>
      <c r="L129" s="12" t="str">
        <f>"CH-6043"</f>
        <v>CH-6043</v>
      </c>
      <c r="M129" s="12" t="str">
        <f>"Adligenswil"</f>
        <v>Adligenswil</v>
      </c>
      <c r="N129" s="12" t="str">
        <f>"CHRN-AR-20000865"</f>
        <v>CHRN-AR-20000865</v>
      </c>
      <c r="O129" s="12" t="str">
        <f>"KT001216"</f>
        <v>KT001216</v>
      </c>
      <c r="P129" s="13" t="str">
        <f>"Mediq Suisse AG"</f>
        <v>Mediq Suisse AG</v>
      </c>
    </row>
    <row r="130" spans="1:16" x14ac:dyDescent="0.15">
      <c r="A130" s="11" t="str">
        <f>"4025-2"</f>
        <v>4025-2</v>
      </c>
      <c r="B130" s="12" t="str">
        <f>"Absorin Fix Extra Stretch Fixierhose M"</f>
        <v>Absorin Fix Extra Stretch Fixierhose M</v>
      </c>
      <c r="C130" s="12" t="str">
        <f>"MDR Risikoklasse I"</f>
        <v>MDR Risikoklasse I</v>
      </c>
      <c r="D130" s="12" t="str">
        <f>"KT000099"</f>
        <v>KT000099</v>
      </c>
      <c r="E130" s="12" t="str">
        <f>"MEDIQ MEDECO"</f>
        <v>MEDIQ MEDECO</v>
      </c>
      <c r="F130" s="12" t="str">
        <f>"Brandpuntlaan Zuid 14"</f>
        <v>Brandpuntlaan Zuid 14</v>
      </c>
      <c r="G130" s="12" t="str">
        <f>"NL-2665 NZ"</f>
        <v>NL-2665 NZ</v>
      </c>
      <c r="H130" s="12" t="str">
        <f>"Bleiswijk"</f>
        <v>Bleiswijk</v>
      </c>
      <c r="I130" s="12" t="str">
        <f>"KT001216"</f>
        <v>KT001216</v>
      </c>
      <c r="J130" s="12" t="str">
        <f>"Mediq Suisse AG"</f>
        <v>Mediq Suisse AG</v>
      </c>
      <c r="K130" s="12" t="str">
        <f>"Rosengartenstrasse 25"</f>
        <v>Rosengartenstrasse 25</v>
      </c>
      <c r="L130" s="12" t="str">
        <f>"CH-8608"</f>
        <v>CH-8608</v>
      </c>
      <c r="M130" s="12" t="str">
        <f>"Bubikon"</f>
        <v>Bubikon</v>
      </c>
      <c r="N130" s="12" t="str">
        <f>"CHRN-AR-20001658"</f>
        <v>CHRN-AR-20001658</v>
      </c>
      <c r="O130" s="12" t="str">
        <f>"KT001216"</f>
        <v>KT001216</v>
      </c>
      <c r="P130" s="13" t="str">
        <f>"Mediq Suisse AG"</f>
        <v>Mediq Suisse AG</v>
      </c>
    </row>
    <row r="131" spans="1:16" x14ac:dyDescent="0.15">
      <c r="A131" s="11" t="str">
        <f>"40294105"</f>
        <v>40294105</v>
      </c>
      <c r="B131" s="12" t="str">
        <f>"Kliniplast Classic Wundpflaster|10cmx6cm"</f>
        <v>Kliniplast Classic Wundpflaster|10cmx6cm</v>
      </c>
      <c r="C131" s="12" t="str">
        <f>"MDR Risikoklasse I"</f>
        <v>MDR Risikoklasse I</v>
      </c>
      <c r="D131" s="12" t="str">
        <f>"KT000099"</f>
        <v>KT000099</v>
      </c>
      <c r="E131" s="12" t="str">
        <f>"MEDIQ MEDECO"</f>
        <v>MEDIQ MEDECO</v>
      </c>
      <c r="F131" s="12" t="str">
        <f>"Brandpuntlaan Zuid 14"</f>
        <v>Brandpuntlaan Zuid 14</v>
      </c>
      <c r="G131" s="12" t="str">
        <f>"NL-2665 NZ"</f>
        <v>NL-2665 NZ</v>
      </c>
      <c r="H131" s="12" t="str">
        <f>"Bleiswijk"</f>
        <v>Bleiswijk</v>
      </c>
      <c r="I131" s="12" t="str">
        <f>"KT001216"</f>
        <v>KT001216</v>
      </c>
      <c r="J131" s="12" t="str">
        <f>"Mediq Suisse AG"</f>
        <v>Mediq Suisse AG</v>
      </c>
      <c r="K131" s="12" t="str">
        <f>"Rosengartenstrasse 25"</f>
        <v>Rosengartenstrasse 25</v>
      </c>
      <c r="L131" s="12" t="str">
        <f>"CH-8608"</f>
        <v>CH-8608</v>
      </c>
      <c r="M131" s="12" t="str">
        <f>"Bubikon"</f>
        <v>Bubikon</v>
      </c>
      <c r="N131" s="12" t="str">
        <f>"CHRN-AR-20001658"</f>
        <v>CHRN-AR-20001658</v>
      </c>
      <c r="O131" s="12" t="str">
        <f>"KT001216"</f>
        <v>KT001216</v>
      </c>
      <c r="P131" s="13" t="str">
        <f>"Mediq Suisse AG"</f>
        <v>Mediq Suisse AG</v>
      </c>
    </row>
    <row r="132" spans="1:16" x14ac:dyDescent="0.15">
      <c r="A132" s="11" t="str">
        <f>"4030-2"</f>
        <v>4030-2</v>
      </c>
      <c r="B132" s="12" t="str">
        <f>"Absorin Fix Normal Stretch Fixierhose M"</f>
        <v>Absorin Fix Normal Stretch Fixierhose M</v>
      </c>
      <c r="C132" s="12" t="str">
        <f>"MDR Risikoklasse I"</f>
        <v>MDR Risikoklasse I</v>
      </c>
      <c r="D132" s="12" t="str">
        <f>"KT000099"</f>
        <v>KT000099</v>
      </c>
      <c r="E132" s="12" t="str">
        <f>"MEDIQ MEDECO"</f>
        <v>MEDIQ MEDECO</v>
      </c>
      <c r="F132" s="12" t="str">
        <f>"Brandpuntlaan Zuid 14"</f>
        <v>Brandpuntlaan Zuid 14</v>
      </c>
      <c r="G132" s="12" t="str">
        <f>"NL-2665 NZ"</f>
        <v>NL-2665 NZ</v>
      </c>
      <c r="H132" s="12" t="str">
        <f>"Bleiswijk"</f>
        <v>Bleiswijk</v>
      </c>
      <c r="I132" s="12" t="str">
        <f>"KT001216"</f>
        <v>KT001216</v>
      </c>
      <c r="J132" s="12" t="str">
        <f>"Mediq Suisse AG"</f>
        <v>Mediq Suisse AG</v>
      </c>
      <c r="K132" s="12" t="str">
        <f>"Rosengartenstrasse 25"</f>
        <v>Rosengartenstrasse 25</v>
      </c>
      <c r="L132" s="12" t="str">
        <f>"CH-8608"</f>
        <v>CH-8608</v>
      </c>
      <c r="M132" s="12" t="str">
        <f>"Bubikon"</f>
        <v>Bubikon</v>
      </c>
      <c r="N132" s="12" t="str">
        <f>"CHRN-AR-20001658"</f>
        <v>CHRN-AR-20001658</v>
      </c>
      <c r="O132" s="12" t="str">
        <f>"KT001216"</f>
        <v>KT001216</v>
      </c>
      <c r="P132" s="13" t="str">
        <f>"Mediq Suisse AG"</f>
        <v>Mediq Suisse AG</v>
      </c>
    </row>
    <row r="133" spans="1:16" x14ac:dyDescent="0.15">
      <c r="A133" s="11" t="str">
        <f>"4032.0"</f>
        <v>4032.0</v>
      </c>
      <c r="B133" s="12" t="str">
        <f>"Care Short Fixierhose L"</f>
        <v>Care Short Fixierhose L</v>
      </c>
      <c r="C133" s="12" t="str">
        <f>"MDR Risikoklasse I"</f>
        <v>MDR Risikoklasse I</v>
      </c>
      <c r="D133" s="12" t="str">
        <f>"KT005666"</f>
        <v>KT005666</v>
      </c>
      <c r="E133" s="12" t="str">
        <f>"Tytex A/S"</f>
        <v>Tytex A/S</v>
      </c>
      <c r="F133" s="12" t="str">
        <f>"Industrivej 21"</f>
        <v>Industrivej 21</v>
      </c>
      <c r="G133" s="12" t="str">
        <f>"DK-7430"</f>
        <v>DK-7430</v>
      </c>
      <c r="H133" s="12" t="str">
        <f>"Ikast"</f>
        <v>Ikast</v>
      </c>
      <c r="I133" s="12" t="str">
        <f>"KT005667"</f>
        <v>KT005667</v>
      </c>
      <c r="J133" s="12" t="str">
        <f>"Best Care Consulting GmbH"</f>
        <v>Best Care Consulting GmbH</v>
      </c>
      <c r="K133" s="12" t="str">
        <f>"Kehlhofrain 12a"</f>
        <v>Kehlhofrain 12a</v>
      </c>
      <c r="L133" s="12" t="str">
        <f>"CH-6043"</f>
        <v>CH-6043</v>
      </c>
      <c r="M133" s="12" t="str">
        <f>"Adligenswil"</f>
        <v>Adligenswil</v>
      </c>
      <c r="N133" s="12" t="str">
        <f>"CHRN-AR-20000865"</f>
        <v>CHRN-AR-20000865</v>
      </c>
      <c r="O133" s="12" t="str">
        <f>"KT001216"</f>
        <v>KT001216</v>
      </c>
      <c r="P133" s="13" t="str">
        <f>"Mediq Suisse AG"</f>
        <v>Mediq Suisse AG</v>
      </c>
    </row>
    <row r="134" spans="1:16" x14ac:dyDescent="0.15">
      <c r="A134" s="11" t="str">
        <f>"4035-2"</f>
        <v>4035-2</v>
      </c>
      <c r="B134" s="12" t="str">
        <f>"Absorin Fix Extra Stretch Fixierhose L"</f>
        <v>Absorin Fix Extra Stretch Fixierhose L</v>
      </c>
      <c r="C134" s="12" t="str">
        <f>"MDR Risikoklasse I"</f>
        <v>MDR Risikoklasse I</v>
      </c>
      <c r="D134" s="12" t="str">
        <f>"KT000099"</f>
        <v>KT000099</v>
      </c>
      <c r="E134" s="12" t="str">
        <f>"MEDIQ MEDECO"</f>
        <v>MEDIQ MEDECO</v>
      </c>
      <c r="F134" s="12" t="str">
        <f>"Brandpuntlaan Zuid 14"</f>
        <v>Brandpuntlaan Zuid 14</v>
      </c>
      <c r="G134" s="12" t="str">
        <f>"NL-2665 NZ"</f>
        <v>NL-2665 NZ</v>
      </c>
      <c r="H134" s="12" t="str">
        <f>"Bleiswijk"</f>
        <v>Bleiswijk</v>
      </c>
      <c r="I134" s="12" t="str">
        <f>"KT001216"</f>
        <v>KT001216</v>
      </c>
      <c r="J134" s="12" t="str">
        <f>"Mediq Suisse AG"</f>
        <v>Mediq Suisse AG</v>
      </c>
      <c r="K134" s="12" t="str">
        <f>"Rosengartenstrasse 25"</f>
        <v>Rosengartenstrasse 25</v>
      </c>
      <c r="L134" s="12" t="str">
        <f>"CH-8608"</f>
        <v>CH-8608</v>
      </c>
      <c r="M134" s="12" t="str">
        <f>"Bubikon"</f>
        <v>Bubikon</v>
      </c>
      <c r="N134" s="12" t="str">
        <f>"CHRN-AR-20001658"</f>
        <v>CHRN-AR-20001658</v>
      </c>
      <c r="O134" s="12" t="str">
        <f>"KT001216"</f>
        <v>KT001216</v>
      </c>
      <c r="P134" s="13" t="str">
        <f>"Mediq Suisse AG"</f>
        <v>Mediq Suisse AG</v>
      </c>
    </row>
    <row r="135" spans="1:16" x14ac:dyDescent="0.15">
      <c r="A135" s="11" t="str">
        <f>"4040-2"</f>
        <v>4040-2</v>
      </c>
      <c r="B135" s="12" t="str">
        <f>"Absorin Fix Normal Stretch Fixierhose L"</f>
        <v>Absorin Fix Normal Stretch Fixierhose L</v>
      </c>
      <c r="C135" s="12" t="str">
        <f>"MDR Risikoklasse I"</f>
        <v>MDR Risikoklasse I</v>
      </c>
      <c r="D135" s="12" t="str">
        <f>"KT000099"</f>
        <v>KT000099</v>
      </c>
      <c r="E135" s="12" t="str">
        <f>"MEDIQ MEDECO"</f>
        <v>MEDIQ MEDECO</v>
      </c>
      <c r="F135" s="12" t="str">
        <f>"Brandpuntlaan Zuid 14"</f>
        <v>Brandpuntlaan Zuid 14</v>
      </c>
      <c r="G135" s="12" t="str">
        <f>"NL-2665 NZ"</f>
        <v>NL-2665 NZ</v>
      </c>
      <c r="H135" s="12" t="str">
        <f>"Bleiswijk"</f>
        <v>Bleiswijk</v>
      </c>
      <c r="I135" s="12" t="str">
        <f>"KT001216"</f>
        <v>KT001216</v>
      </c>
      <c r="J135" s="12" t="str">
        <f>"Mediq Suisse AG"</f>
        <v>Mediq Suisse AG</v>
      </c>
      <c r="K135" s="12" t="str">
        <f>"Rosengartenstrasse 25"</f>
        <v>Rosengartenstrasse 25</v>
      </c>
      <c r="L135" s="12" t="str">
        <f>"CH-8608"</f>
        <v>CH-8608</v>
      </c>
      <c r="M135" s="12" t="str">
        <f>"Bubikon"</f>
        <v>Bubikon</v>
      </c>
      <c r="N135" s="12" t="str">
        <f>"CHRN-AR-20001658"</f>
        <v>CHRN-AR-20001658</v>
      </c>
      <c r="O135" s="12" t="str">
        <f>"KT001216"</f>
        <v>KT001216</v>
      </c>
      <c r="P135" s="13" t="str">
        <f>"Mediq Suisse AG"</f>
        <v>Mediq Suisse AG</v>
      </c>
    </row>
    <row r="136" spans="1:16" x14ac:dyDescent="0.15">
      <c r="A136" s="11" t="str">
        <f>"4042.0"</f>
        <v>4042.0</v>
      </c>
      <c r="B136" s="12" t="str">
        <f>"Care Short Fixierhose XL"</f>
        <v>Care Short Fixierhose XL</v>
      </c>
      <c r="C136" s="12" t="str">
        <f>"MDR Risikoklasse I"</f>
        <v>MDR Risikoklasse I</v>
      </c>
      <c r="D136" s="12" t="str">
        <f>"KT005666"</f>
        <v>KT005666</v>
      </c>
      <c r="E136" s="12" t="str">
        <f>"Tytex A/S"</f>
        <v>Tytex A/S</v>
      </c>
      <c r="F136" s="12" t="str">
        <f>"Industrivej 21"</f>
        <v>Industrivej 21</v>
      </c>
      <c r="G136" s="12" t="str">
        <f>"DK-7430"</f>
        <v>DK-7430</v>
      </c>
      <c r="H136" s="12" t="str">
        <f>"Ikast"</f>
        <v>Ikast</v>
      </c>
      <c r="I136" s="12" t="str">
        <f>"KT005667"</f>
        <v>KT005667</v>
      </c>
      <c r="J136" s="12" t="str">
        <f>"Best Care Consulting GmbH"</f>
        <v>Best Care Consulting GmbH</v>
      </c>
      <c r="K136" s="12" t="str">
        <f>"Kehlhofrain 12a"</f>
        <v>Kehlhofrain 12a</v>
      </c>
      <c r="L136" s="12" t="str">
        <f>"CH-6043"</f>
        <v>CH-6043</v>
      </c>
      <c r="M136" s="12" t="str">
        <f>"Adligenswil"</f>
        <v>Adligenswil</v>
      </c>
      <c r="N136" s="12" t="str">
        <f>"CHRN-AR-20000865"</f>
        <v>CHRN-AR-20000865</v>
      </c>
      <c r="O136" s="12" t="str">
        <f>"KT001216"</f>
        <v>KT001216</v>
      </c>
      <c r="P136" s="13" t="str">
        <f>"Mediq Suisse AG"</f>
        <v>Mediq Suisse AG</v>
      </c>
    </row>
    <row r="137" spans="1:16" x14ac:dyDescent="0.15">
      <c r="A137" s="11" t="str">
        <f>"4042-2"</f>
        <v>4042-2</v>
      </c>
      <c r="B137" s="12" t="str">
        <f>"Absorin Fix Normal Stretch Fixierhose XL"</f>
        <v>Absorin Fix Normal Stretch Fixierhose XL</v>
      </c>
      <c r="C137" s="12" t="str">
        <f>"MDR Risikoklasse I"</f>
        <v>MDR Risikoklasse I</v>
      </c>
      <c r="D137" s="12" t="str">
        <f>"KT000099"</f>
        <v>KT000099</v>
      </c>
      <c r="E137" s="12" t="str">
        <f>"MEDIQ MEDECO"</f>
        <v>MEDIQ MEDECO</v>
      </c>
      <c r="F137" s="12" t="str">
        <f>"Brandpuntlaan Zuid 14"</f>
        <v>Brandpuntlaan Zuid 14</v>
      </c>
      <c r="G137" s="12" t="str">
        <f>"NL-2665 NZ"</f>
        <v>NL-2665 NZ</v>
      </c>
      <c r="H137" s="12" t="str">
        <f>"Bleiswijk"</f>
        <v>Bleiswijk</v>
      </c>
      <c r="I137" s="12" t="str">
        <f>"KT001216"</f>
        <v>KT001216</v>
      </c>
      <c r="J137" s="12" t="str">
        <f>"Mediq Suisse AG"</f>
        <v>Mediq Suisse AG</v>
      </c>
      <c r="K137" s="12" t="str">
        <f>"Rosengartenstrasse 25"</f>
        <v>Rosengartenstrasse 25</v>
      </c>
      <c r="L137" s="12" t="str">
        <f>"CH-8608"</f>
        <v>CH-8608</v>
      </c>
      <c r="M137" s="12" t="str">
        <f>"Bubikon"</f>
        <v>Bubikon</v>
      </c>
      <c r="N137" s="12" t="str">
        <f>"CHRN-AR-20001658"</f>
        <v>CHRN-AR-20001658</v>
      </c>
      <c r="O137" s="12" t="str">
        <f>"KT001216"</f>
        <v>KT001216</v>
      </c>
      <c r="P137" s="13" t="str">
        <f>"Mediq Suisse AG"</f>
        <v>Mediq Suisse AG</v>
      </c>
    </row>
    <row r="138" spans="1:16" x14ac:dyDescent="0.15">
      <c r="A138" s="11" t="str">
        <f>"4045-2"</f>
        <v>4045-2</v>
      </c>
      <c r="B138" s="12" t="str">
        <f>"Absorin Fix Extra Stretch Fixierhose XL"</f>
        <v>Absorin Fix Extra Stretch Fixierhose XL</v>
      </c>
      <c r="C138" s="12" t="str">
        <f>"MDR Risikoklasse I"</f>
        <v>MDR Risikoklasse I</v>
      </c>
      <c r="D138" s="12" t="str">
        <f>"KT000099"</f>
        <v>KT000099</v>
      </c>
      <c r="E138" s="12" t="str">
        <f>"MEDIQ MEDECO"</f>
        <v>MEDIQ MEDECO</v>
      </c>
      <c r="F138" s="12" t="str">
        <f>"Brandpuntlaan Zuid 14"</f>
        <v>Brandpuntlaan Zuid 14</v>
      </c>
      <c r="G138" s="12" t="str">
        <f>"NL-2665 NZ"</f>
        <v>NL-2665 NZ</v>
      </c>
      <c r="H138" s="12" t="str">
        <f>"Bleiswijk"</f>
        <v>Bleiswijk</v>
      </c>
      <c r="I138" s="12" t="str">
        <f>"KT001216"</f>
        <v>KT001216</v>
      </c>
      <c r="J138" s="12" t="str">
        <f>"Mediq Suisse AG"</f>
        <v>Mediq Suisse AG</v>
      </c>
      <c r="K138" s="12" t="str">
        <f>"Rosengartenstrasse 25"</f>
        <v>Rosengartenstrasse 25</v>
      </c>
      <c r="L138" s="12" t="str">
        <f>"CH-8608"</f>
        <v>CH-8608</v>
      </c>
      <c r="M138" s="12" t="str">
        <f>"Bubikon"</f>
        <v>Bubikon</v>
      </c>
      <c r="N138" s="12" t="str">
        <f>"CHRN-AR-20001658"</f>
        <v>CHRN-AR-20001658</v>
      </c>
      <c r="O138" s="12" t="str">
        <f>"KT001216"</f>
        <v>KT001216</v>
      </c>
      <c r="P138" s="13" t="str">
        <f>"Mediq Suisse AG"</f>
        <v>Mediq Suisse AG</v>
      </c>
    </row>
    <row r="139" spans="1:16" x14ac:dyDescent="0.15">
      <c r="A139" s="11" t="str">
        <f>"4050-2"</f>
        <v>4050-2</v>
      </c>
      <c r="B139" s="12" t="str">
        <f>"Absorin Fix Normal Stretch Fixierhose XXL"</f>
        <v>Absorin Fix Normal Stretch Fixierhose XXL</v>
      </c>
      <c r="C139" s="12" t="str">
        <f>"MDR Risikoklasse I"</f>
        <v>MDR Risikoklasse I</v>
      </c>
      <c r="D139" s="12" t="str">
        <f>"KT000099"</f>
        <v>KT000099</v>
      </c>
      <c r="E139" s="12" t="str">
        <f>"MEDIQ MEDECO"</f>
        <v>MEDIQ MEDECO</v>
      </c>
      <c r="F139" s="12" t="str">
        <f>"Brandpuntlaan Zuid 14"</f>
        <v>Brandpuntlaan Zuid 14</v>
      </c>
      <c r="G139" s="12" t="str">
        <f>"NL-2665 NZ"</f>
        <v>NL-2665 NZ</v>
      </c>
      <c r="H139" s="12" t="str">
        <f>"Bleiswijk"</f>
        <v>Bleiswijk</v>
      </c>
      <c r="I139" s="12" t="str">
        <f>"KT001216"</f>
        <v>KT001216</v>
      </c>
      <c r="J139" s="12" t="str">
        <f>"Mediq Suisse AG"</f>
        <v>Mediq Suisse AG</v>
      </c>
      <c r="K139" s="12" t="str">
        <f>"Rosengartenstrasse 25"</f>
        <v>Rosengartenstrasse 25</v>
      </c>
      <c r="L139" s="12" t="str">
        <f>"CH-8608"</f>
        <v>CH-8608</v>
      </c>
      <c r="M139" s="12" t="str">
        <f>"Bubikon"</f>
        <v>Bubikon</v>
      </c>
      <c r="N139" s="12" t="str">
        <f>"CHRN-AR-20001658"</f>
        <v>CHRN-AR-20001658</v>
      </c>
      <c r="O139" s="12" t="str">
        <f>"KT001216"</f>
        <v>KT001216</v>
      </c>
      <c r="P139" s="13" t="str">
        <f>"Mediq Suisse AG"</f>
        <v>Mediq Suisse AG</v>
      </c>
    </row>
    <row r="140" spans="1:16" x14ac:dyDescent="0.15">
      <c r="A140" s="11" t="str">
        <f>"40511706"</f>
        <v>40511706</v>
      </c>
      <c r="B140" s="12" t="str">
        <f>"Kliniderm Superabsorbent Dressing|steril|10x10cm"</f>
        <v>Kliniderm Superabsorbent Dressing|steril|10x10cm</v>
      </c>
      <c r="C140" s="12" t="str">
        <f>"MDR Risikoklasse IIb"</f>
        <v>MDR Risikoklasse IIb</v>
      </c>
      <c r="D140" s="12" t="str">
        <f>"KT000099"</f>
        <v>KT000099</v>
      </c>
      <c r="E140" s="12" t="str">
        <f>"MEDIQ MEDECO"</f>
        <v>MEDIQ MEDECO</v>
      </c>
      <c r="F140" s="12" t="str">
        <f>"Brandpuntlaan Zuid 14"</f>
        <v>Brandpuntlaan Zuid 14</v>
      </c>
      <c r="G140" s="12" t="str">
        <f>"NL-2665 NZ"</f>
        <v>NL-2665 NZ</v>
      </c>
      <c r="H140" s="12" t="str">
        <f>"Bleiswijk"</f>
        <v>Bleiswijk</v>
      </c>
      <c r="I140" s="12" t="str">
        <f>"KT001216"</f>
        <v>KT001216</v>
      </c>
      <c r="J140" s="12" t="str">
        <f>"Mediq Suisse AG"</f>
        <v>Mediq Suisse AG</v>
      </c>
      <c r="K140" s="12" t="str">
        <f>"Rosengartenstrasse 25"</f>
        <v>Rosengartenstrasse 25</v>
      </c>
      <c r="L140" s="12" t="str">
        <f>"CH-8608"</f>
        <v>CH-8608</v>
      </c>
      <c r="M140" s="12" t="str">
        <f>"Bubikon"</f>
        <v>Bubikon</v>
      </c>
      <c r="N140" s="12" t="str">
        <f>"CHRN-AR-20001658"</f>
        <v>CHRN-AR-20001658</v>
      </c>
      <c r="O140" s="12" t="str">
        <f>"KT001216"</f>
        <v>KT001216</v>
      </c>
      <c r="P140" s="13" t="str">
        <f>"Mediq Suisse AG"</f>
        <v>Mediq Suisse AG</v>
      </c>
    </row>
    <row r="141" spans="1:16" x14ac:dyDescent="0.15">
      <c r="A141" s="11" t="str">
        <f>"40511707"</f>
        <v>40511707</v>
      </c>
      <c r="B141" s="12" t="str">
        <f>"Kliniderm Superabsorbent Dressing|steril|10x15cm"</f>
        <v>Kliniderm Superabsorbent Dressing|steril|10x15cm</v>
      </c>
      <c r="C141" s="12" t="str">
        <f>"MDR Risikoklasse IIb"</f>
        <v>MDR Risikoklasse IIb</v>
      </c>
      <c r="D141" s="12" t="str">
        <f>"KT000099"</f>
        <v>KT000099</v>
      </c>
      <c r="E141" s="12" t="str">
        <f>"MEDIQ MEDECO"</f>
        <v>MEDIQ MEDECO</v>
      </c>
      <c r="F141" s="12" t="str">
        <f>"Brandpuntlaan Zuid 14"</f>
        <v>Brandpuntlaan Zuid 14</v>
      </c>
      <c r="G141" s="12" t="str">
        <f>"NL-2665 NZ"</f>
        <v>NL-2665 NZ</v>
      </c>
      <c r="H141" s="12" t="str">
        <f>"Bleiswijk"</f>
        <v>Bleiswijk</v>
      </c>
      <c r="I141" s="12" t="str">
        <f>"KT001216"</f>
        <v>KT001216</v>
      </c>
      <c r="J141" s="12" t="str">
        <f>"Mediq Suisse AG"</f>
        <v>Mediq Suisse AG</v>
      </c>
      <c r="K141" s="12" t="str">
        <f>"Rosengartenstrasse 25"</f>
        <v>Rosengartenstrasse 25</v>
      </c>
      <c r="L141" s="12" t="str">
        <f>"CH-8608"</f>
        <v>CH-8608</v>
      </c>
      <c r="M141" s="12" t="str">
        <f>"Bubikon"</f>
        <v>Bubikon</v>
      </c>
      <c r="N141" s="12" t="str">
        <f>"CHRN-AR-20001658"</f>
        <v>CHRN-AR-20001658</v>
      </c>
      <c r="O141" s="12" t="str">
        <f>"KT001216"</f>
        <v>KT001216</v>
      </c>
      <c r="P141" s="13" t="str">
        <f>"Mediq Suisse AG"</f>
        <v>Mediq Suisse AG</v>
      </c>
    </row>
    <row r="142" spans="1:16" x14ac:dyDescent="0.15">
      <c r="A142" s="11" t="str">
        <f>"40513012"</f>
        <v>40513012</v>
      </c>
      <c r="B142" s="12" t="str">
        <f>"Klinifix Schlauchverband blau 7.5cm x 10m"</f>
        <v>Klinifix Schlauchverband blau 7.5cm x 10m</v>
      </c>
      <c r="C142" s="12" t="str">
        <f>"MDR Risikoklasse I"</f>
        <v>MDR Risikoklasse I</v>
      </c>
      <c r="D142" s="12" t="str">
        <f>"KT000099"</f>
        <v>KT000099</v>
      </c>
      <c r="E142" s="12" t="str">
        <f>"MEDIQ MEDECO"</f>
        <v>MEDIQ MEDECO</v>
      </c>
      <c r="F142" s="12" t="str">
        <f>"Brandpuntlaan Zuid 14"</f>
        <v>Brandpuntlaan Zuid 14</v>
      </c>
      <c r="G142" s="12" t="str">
        <f>"NL-2665 NZ"</f>
        <v>NL-2665 NZ</v>
      </c>
      <c r="H142" s="12" t="str">
        <f>"Bleiswijk"</f>
        <v>Bleiswijk</v>
      </c>
      <c r="I142" s="12" t="str">
        <f>"KT001216"</f>
        <v>KT001216</v>
      </c>
      <c r="J142" s="12" t="str">
        <f>"Mediq Suisse AG"</f>
        <v>Mediq Suisse AG</v>
      </c>
      <c r="K142" s="12" t="str">
        <f>"Rosengartenstrasse 25"</f>
        <v>Rosengartenstrasse 25</v>
      </c>
      <c r="L142" s="12" t="str">
        <f>"CH-8608"</f>
        <v>CH-8608</v>
      </c>
      <c r="M142" s="12" t="str">
        <f>"Bubikon"</f>
        <v>Bubikon</v>
      </c>
      <c r="N142" s="12" t="str">
        <f>"CHRN-AR-20001658"</f>
        <v>CHRN-AR-20001658</v>
      </c>
      <c r="O142" s="12" t="str">
        <f>"KT001216"</f>
        <v>KT001216</v>
      </c>
      <c r="P142" s="13" t="str">
        <f>"Mediq Suisse AG"</f>
        <v>Mediq Suisse AG</v>
      </c>
    </row>
    <row r="143" spans="1:16" x14ac:dyDescent="0.15">
      <c r="A143" s="11" t="str">
        <f>"40514822"</f>
        <v>40514822</v>
      </c>
      <c r="B143" s="12" t="str">
        <f>"Kliniderm Foam Silicone Border Multisite|steril|20x20cm"</f>
        <v>Kliniderm Foam Silicone Border Multisite|steril|20x20cm</v>
      </c>
      <c r="C143" s="12" t="str">
        <f>"MDR Risikoklasse IIb"</f>
        <v>MDR Risikoklasse IIb</v>
      </c>
      <c r="D143" s="12" t="str">
        <f>"KT000099"</f>
        <v>KT000099</v>
      </c>
      <c r="E143" s="12" t="str">
        <f>"MEDIQ MEDECO"</f>
        <v>MEDIQ MEDECO</v>
      </c>
      <c r="F143" s="12" t="str">
        <f>"Brandpuntlaan Zuid 14"</f>
        <v>Brandpuntlaan Zuid 14</v>
      </c>
      <c r="G143" s="12" t="str">
        <f>"NL-2665 NZ"</f>
        <v>NL-2665 NZ</v>
      </c>
      <c r="H143" s="12" t="str">
        <f>"Bleiswijk"</f>
        <v>Bleiswijk</v>
      </c>
      <c r="I143" s="12" t="str">
        <f>"KT001216"</f>
        <v>KT001216</v>
      </c>
      <c r="J143" s="12" t="str">
        <f>"Mediq Suisse AG"</f>
        <v>Mediq Suisse AG</v>
      </c>
      <c r="K143" s="12" t="str">
        <f>"Rosengartenstrasse 25"</f>
        <v>Rosengartenstrasse 25</v>
      </c>
      <c r="L143" s="12" t="str">
        <f>"CH-8608"</f>
        <v>CH-8608</v>
      </c>
      <c r="M143" s="12" t="str">
        <f>"Bubikon"</f>
        <v>Bubikon</v>
      </c>
      <c r="N143" s="12" t="str">
        <f>"CHRN-AR-20001658"</f>
        <v>CHRN-AR-20001658</v>
      </c>
      <c r="O143" s="12" t="str">
        <f>"KT001216"</f>
        <v>KT001216</v>
      </c>
      <c r="P143" s="13" t="str">
        <f>"Mediq Suisse AG"</f>
        <v>Mediq Suisse AG</v>
      </c>
    </row>
    <row r="144" spans="1:16" x14ac:dyDescent="0.15">
      <c r="A144" s="11" t="str">
        <f>"40514824"</f>
        <v>40514824</v>
      </c>
      <c r="B144" s="12" t="str">
        <f>"Kliniderm Foam Silicone|steril|10x10cm"</f>
        <v>Kliniderm Foam Silicone|steril|10x10cm</v>
      </c>
      <c r="C144" s="12" t="str">
        <f>"MDR Risikoklasse IIb"</f>
        <v>MDR Risikoklasse IIb</v>
      </c>
      <c r="D144" s="12" t="str">
        <f>"KT000099"</f>
        <v>KT000099</v>
      </c>
      <c r="E144" s="12" t="str">
        <f>"MEDIQ MEDECO"</f>
        <v>MEDIQ MEDECO</v>
      </c>
      <c r="F144" s="12" t="str">
        <f>"Brandpuntlaan Zuid 14"</f>
        <v>Brandpuntlaan Zuid 14</v>
      </c>
      <c r="G144" s="12" t="str">
        <f>"NL-2665 NZ"</f>
        <v>NL-2665 NZ</v>
      </c>
      <c r="H144" s="12" t="str">
        <f>"Bleiswijk"</f>
        <v>Bleiswijk</v>
      </c>
      <c r="I144" s="12" t="str">
        <f>"KT001216"</f>
        <v>KT001216</v>
      </c>
      <c r="J144" s="12" t="str">
        <f>"Mediq Suisse AG"</f>
        <v>Mediq Suisse AG</v>
      </c>
      <c r="K144" s="12" t="str">
        <f>"Rosengartenstrasse 25"</f>
        <v>Rosengartenstrasse 25</v>
      </c>
      <c r="L144" s="12" t="str">
        <f>"CH-8608"</f>
        <v>CH-8608</v>
      </c>
      <c r="M144" s="12" t="str">
        <f>"Bubikon"</f>
        <v>Bubikon</v>
      </c>
      <c r="N144" s="12" t="str">
        <f>"CHRN-AR-20001658"</f>
        <v>CHRN-AR-20001658</v>
      </c>
      <c r="O144" s="12" t="str">
        <f>"KT001216"</f>
        <v>KT001216</v>
      </c>
      <c r="P144" s="13" t="str">
        <f>"Mediq Suisse AG"</f>
        <v>Mediq Suisse AG</v>
      </c>
    </row>
    <row r="145" spans="1:16" x14ac:dyDescent="0.15">
      <c r="A145" s="11" t="str">
        <f>"40514828"</f>
        <v>40514828</v>
      </c>
      <c r="B145" s="12" t="str">
        <f>"Kliniderm Foam Silicone Border|steril7.5 x 7.5cm"</f>
        <v>Kliniderm Foam Silicone Border|steril7.5 x 7.5cm</v>
      </c>
      <c r="C145" s="12" t="str">
        <f>"MDR Risikoklasse IIb"</f>
        <v>MDR Risikoklasse IIb</v>
      </c>
      <c r="D145" s="12" t="str">
        <f>"KT000099"</f>
        <v>KT000099</v>
      </c>
      <c r="E145" s="12" t="str">
        <f>"MEDIQ MEDECO"</f>
        <v>MEDIQ MEDECO</v>
      </c>
      <c r="F145" s="12" t="str">
        <f>"Brandpuntlaan Zuid 14"</f>
        <v>Brandpuntlaan Zuid 14</v>
      </c>
      <c r="G145" s="12" t="str">
        <f>"NL-2665 NZ"</f>
        <v>NL-2665 NZ</v>
      </c>
      <c r="H145" s="12" t="str">
        <f>"Bleiswijk"</f>
        <v>Bleiswijk</v>
      </c>
      <c r="I145" s="12" t="str">
        <f>"KT001216"</f>
        <v>KT001216</v>
      </c>
      <c r="J145" s="12" t="str">
        <f>"Mediq Suisse AG"</f>
        <v>Mediq Suisse AG</v>
      </c>
      <c r="K145" s="12" t="str">
        <f>"Rosengartenstrasse 25"</f>
        <v>Rosengartenstrasse 25</v>
      </c>
      <c r="L145" s="12" t="str">
        <f>"CH-8608"</f>
        <v>CH-8608</v>
      </c>
      <c r="M145" s="12" t="str">
        <f>"Bubikon"</f>
        <v>Bubikon</v>
      </c>
      <c r="N145" s="12" t="str">
        <f>"CHRN-AR-20001658"</f>
        <v>CHRN-AR-20001658</v>
      </c>
      <c r="O145" s="12" t="str">
        <f>"KT001216"</f>
        <v>KT001216</v>
      </c>
      <c r="P145" s="13" t="str">
        <f>"Mediq Suisse AG"</f>
        <v>Mediq Suisse AG</v>
      </c>
    </row>
    <row r="146" spans="1:16" x14ac:dyDescent="0.15">
      <c r="A146" s="11" t="str">
        <f>"40514829"</f>
        <v>40514829</v>
      </c>
      <c r="B146" s="12" t="str">
        <f>"Kliniderm Foam Silicone Border|steril|10x10cm"</f>
        <v>Kliniderm Foam Silicone Border|steril|10x10cm</v>
      </c>
      <c r="C146" s="12" t="str">
        <f>"MDR Risikoklasse IIb"</f>
        <v>MDR Risikoklasse IIb</v>
      </c>
      <c r="D146" s="12" t="str">
        <f>"KT000099"</f>
        <v>KT000099</v>
      </c>
      <c r="E146" s="12" t="str">
        <f>"MEDIQ MEDECO"</f>
        <v>MEDIQ MEDECO</v>
      </c>
      <c r="F146" s="12" t="str">
        <f>"Brandpuntlaan Zuid 14"</f>
        <v>Brandpuntlaan Zuid 14</v>
      </c>
      <c r="G146" s="12" t="str">
        <f>"NL-2665 NZ"</f>
        <v>NL-2665 NZ</v>
      </c>
      <c r="H146" s="12" t="str">
        <f>"Bleiswijk"</f>
        <v>Bleiswijk</v>
      </c>
      <c r="I146" s="12" t="str">
        <f>"KT001216"</f>
        <v>KT001216</v>
      </c>
      <c r="J146" s="12" t="str">
        <f>"Mediq Suisse AG"</f>
        <v>Mediq Suisse AG</v>
      </c>
      <c r="K146" s="12" t="str">
        <f>"Rosengartenstrasse 25"</f>
        <v>Rosengartenstrasse 25</v>
      </c>
      <c r="L146" s="12" t="str">
        <f>"CH-8608"</f>
        <v>CH-8608</v>
      </c>
      <c r="M146" s="12" t="str">
        <f>"Bubikon"</f>
        <v>Bubikon</v>
      </c>
      <c r="N146" s="12" t="str">
        <f>"CHRN-AR-20001658"</f>
        <v>CHRN-AR-20001658</v>
      </c>
      <c r="O146" s="12" t="str">
        <f>"KT001216"</f>
        <v>KT001216</v>
      </c>
      <c r="P146" s="13" t="str">
        <f>"Mediq Suisse AG"</f>
        <v>Mediq Suisse AG</v>
      </c>
    </row>
    <row r="147" spans="1:16" x14ac:dyDescent="0.15">
      <c r="A147" s="11" t="str">
        <f>"40514831"</f>
        <v>40514831</v>
      </c>
      <c r="B147" s="12" t="str">
        <f>"Kliniderm Foam Silicone Border|steril|15x15cm"</f>
        <v>Kliniderm Foam Silicone Border|steril|15x15cm</v>
      </c>
      <c r="C147" s="12" t="str">
        <f>"MDR Risikoklasse IIb"</f>
        <v>MDR Risikoklasse IIb</v>
      </c>
      <c r="D147" s="12" t="str">
        <f>"KT000099"</f>
        <v>KT000099</v>
      </c>
      <c r="E147" s="12" t="str">
        <f>"MEDIQ MEDECO"</f>
        <v>MEDIQ MEDECO</v>
      </c>
      <c r="F147" s="12" t="str">
        <f>"Brandpuntlaan Zuid 14"</f>
        <v>Brandpuntlaan Zuid 14</v>
      </c>
      <c r="G147" s="12" t="str">
        <f>"NL-2665 NZ"</f>
        <v>NL-2665 NZ</v>
      </c>
      <c r="H147" s="12" t="str">
        <f>"Bleiswijk"</f>
        <v>Bleiswijk</v>
      </c>
      <c r="I147" s="12" t="str">
        <f>"KT001216"</f>
        <v>KT001216</v>
      </c>
      <c r="J147" s="12" t="str">
        <f>"Mediq Suisse AG"</f>
        <v>Mediq Suisse AG</v>
      </c>
      <c r="K147" s="12" t="str">
        <f>"Rosengartenstrasse 25"</f>
        <v>Rosengartenstrasse 25</v>
      </c>
      <c r="L147" s="12" t="str">
        <f>"CH-8608"</f>
        <v>CH-8608</v>
      </c>
      <c r="M147" s="12" t="str">
        <f>"Bubikon"</f>
        <v>Bubikon</v>
      </c>
      <c r="N147" s="12" t="str">
        <f>"CHRN-AR-20001658"</f>
        <v>CHRN-AR-20001658</v>
      </c>
      <c r="O147" s="12" t="str">
        <f>"KT001216"</f>
        <v>KT001216</v>
      </c>
      <c r="P147" s="13" t="str">
        <f>"Mediq Suisse AG"</f>
        <v>Mediq Suisse AG</v>
      </c>
    </row>
    <row r="148" spans="1:16" x14ac:dyDescent="0.15">
      <c r="A148" s="11" t="str">
        <f>"40514839"</f>
        <v>40514839</v>
      </c>
      <c r="B148" s="12" t="str">
        <f>"Kliniderm Foam Silicone Sacrum Border|steril|15x15cm"</f>
        <v>Kliniderm Foam Silicone Sacrum Border|steril|15x15cm</v>
      </c>
      <c r="C148" s="12" t="str">
        <f>"MDR Risikoklasse IIb"</f>
        <v>MDR Risikoklasse IIb</v>
      </c>
      <c r="D148" s="12" t="str">
        <f>"KT000099"</f>
        <v>KT000099</v>
      </c>
      <c r="E148" s="12" t="str">
        <f>"MEDIQ MEDECO"</f>
        <v>MEDIQ MEDECO</v>
      </c>
      <c r="F148" s="12" t="str">
        <f>"Brandpuntlaan Zuid 14"</f>
        <v>Brandpuntlaan Zuid 14</v>
      </c>
      <c r="G148" s="12" t="str">
        <f>"NL-2665 NZ"</f>
        <v>NL-2665 NZ</v>
      </c>
      <c r="H148" s="12" t="str">
        <f>"Bleiswijk"</f>
        <v>Bleiswijk</v>
      </c>
      <c r="I148" s="12" t="str">
        <f>"KT001216"</f>
        <v>KT001216</v>
      </c>
      <c r="J148" s="12" t="str">
        <f>"Mediq Suisse AG"</f>
        <v>Mediq Suisse AG</v>
      </c>
      <c r="K148" s="12" t="str">
        <f>"Rosengartenstrasse 25"</f>
        <v>Rosengartenstrasse 25</v>
      </c>
      <c r="L148" s="12" t="str">
        <f>"CH-8608"</f>
        <v>CH-8608</v>
      </c>
      <c r="M148" s="12" t="str">
        <f>"Bubikon"</f>
        <v>Bubikon</v>
      </c>
      <c r="N148" s="12" t="str">
        <f>"CHRN-AR-20001658"</f>
        <v>CHRN-AR-20001658</v>
      </c>
      <c r="O148" s="12" t="str">
        <f>"KT001216"</f>
        <v>KT001216</v>
      </c>
      <c r="P148" s="13" t="str">
        <f>"Mediq Suisse AG"</f>
        <v>Mediq Suisse AG</v>
      </c>
    </row>
    <row r="149" spans="1:16" x14ac:dyDescent="0.15">
      <c r="A149" s="11" t="str">
        <f>"4055-2"</f>
        <v>4055-2</v>
      </c>
      <c r="B149" s="12" t="str">
        <f>"Absorin Fix Extra Stretch Fixierhose XXL"</f>
        <v>Absorin Fix Extra Stretch Fixierhose XXL</v>
      </c>
      <c r="C149" s="12" t="str">
        <f>"MDR Risikoklasse I"</f>
        <v>MDR Risikoklasse I</v>
      </c>
      <c r="D149" s="12" t="str">
        <f>"KT000099"</f>
        <v>KT000099</v>
      </c>
      <c r="E149" s="12" t="str">
        <f>"MEDIQ MEDECO"</f>
        <v>MEDIQ MEDECO</v>
      </c>
      <c r="F149" s="12" t="str">
        <f>"Brandpuntlaan Zuid 14"</f>
        <v>Brandpuntlaan Zuid 14</v>
      </c>
      <c r="G149" s="12" t="str">
        <f>"NL-2665 NZ"</f>
        <v>NL-2665 NZ</v>
      </c>
      <c r="H149" s="12" t="str">
        <f>"Bleiswijk"</f>
        <v>Bleiswijk</v>
      </c>
      <c r="I149" s="12" t="str">
        <f>"KT001216"</f>
        <v>KT001216</v>
      </c>
      <c r="J149" s="12" t="str">
        <f>"Mediq Suisse AG"</f>
        <v>Mediq Suisse AG</v>
      </c>
      <c r="K149" s="12" t="str">
        <f>"Rosengartenstrasse 25"</f>
        <v>Rosengartenstrasse 25</v>
      </c>
      <c r="L149" s="12" t="str">
        <f>"CH-8608"</f>
        <v>CH-8608</v>
      </c>
      <c r="M149" s="12" t="str">
        <f>"Bubikon"</f>
        <v>Bubikon</v>
      </c>
      <c r="N149" s="12" t="str">
        <f>"CHRN-AR-20001658"</f>
        <v>CHRN-AR-20001658</v>
      </c>
      <c r="O149" s="12" t="str">
        <f>"KT001216"</f>
        <v>KT001216</v>
      </c>
      <c r="P149" s="13" t="str">
        <f>"Mediq Suisse AG"</f>
        <v>Mediq Suisse AG</v>
      </c>
    </row>
    <row r="150" spans="1:16" x14ac:dyDescent="0.15">
      <c r="A150" s="11" t="str">
        <f>"4082-1"</f>
        <v>4082-1</v>
      </c>
      <c r="B150" s="12" t="str">
        <f>"Absorin Micro Comfort Fixierhose S/M"</f>
        <v>Absorin Micro Comfort Fixierhose S/M</v>
      </c>
      <c r="C150" s="12" t="str">
        <f>"MDR Risikoklasse I"</f>
        <v>MDR Risikoklasse I</v>
      </c>
      <c r="D150" s="12" t="str">
        <f>"KT000099"</f>
        <v>KT000099</v>
      </c>
      <c r="E150" s="12" t="str">
        <f>"MEDIQ MEDECO"</f>
        <v>MEDIQ MEDECO</v>
      </c>
      <c r="F150" s="12" t="str">
        <f>"Brandpuntlaan Zuid 14"</f>
        <v>Brandpuntlaan Zuid 14</v>
      </c>
      <c r="G150" s="12" t="str">
        <f>"NL-2665 NZ"</f>
        <v>NL-2665 NZ</v>
      </c>
      <c r="H150" s="12" t="str">
        <f>"Bleiswijk"</f>
        <v>Bleiswijk</v>
      </c>
      <c r="I150" s="12" t="str">
        <f>"KT001216"</f>
        <v>KT001216</v>
      </c>
      <c r="J150" s="12" t="str">
        <f>"Mediq Suisse AG"</f>
        <v>Mediq Suisse AG</v>
      </c>
      <c r="K150" s="12" t="str">
        <f>"Rosengartenstrasse 25"</f>
        <v>Rosengartenstrasse 25</v>
      </c>
      <c r="L150" s="12" t="str">
        <f>"CH-8608"</f>
        <v>CH-8608</v>
      </c>
      <c r="M150" s="12" t="str">
        <f>"Bubikon"</f>
        <v>Bubikon</v>
      </c>
      <c r="N150" s="12" t="str">
        <f>"CHRN-AR-20001658"</f>
        <v>CHRN-AR-20001658</v>
      </c>
      <c r="O150" s="12" t="str">
        <f>"KT001216"</f>
        <v>KT001216</v>
      </c>
      <c r="P150" s="13" t="str">
        <f>"Mediq Suisse AG"</f>
        <v>Mediq Suisse AG</v>
      </c>
    </row>
    <row r="151" spans="1:16" x14ac:dyDescent="0.15">
      <c r="A151" s="11" t="str">
        <f>"4084-1"</f>
        <v>4084-1</v>
      </c>
      <c r="B151" s="12" t="str">
        <f>"Absorin Micro Comfort Fixierhose L/XL"</f>
        <v>Absorin Micro Comfort Fixierhose L/XL</v>
      </c>
      <c r="C151" s="12" t="str">
        <f>"MDR Risikoklasse I"</f>
        <v>MDR Risikoklasse I</v>
      </c>
      <c r="D151" s="12" t="str">
        <f>"KT000099"</f>
        <v>KT000099</v>
      </c>
      <c r="E151" s="12" t="str">
        <f>"MEDIQ MEDECO"</f>
        <v>MEDIQ MEDECO</v>
      </c>
      <c r="F151" s="12" t="str">
        <f>"Brandpuntlaan Zuid 14"</f>
        <v>Brandpuntlaan Zuid 14</v>
      </c>
      <c r="G151" s="12" t="str">
        <f>"NL-2665 NZ"</f>
        <v>NL-2665 NZ</v>
      </c>
      <c r="H151" s="12" t="str">
        <f>"Bleiswijk"</f>
        <v>Bleiswijk</v>
      </c>
      <c r="I151" s="12" t="str">
        <f>"KT001216"</f>
        <v>KT001216</v>
      </c>
      <c r="J151" s="12" t="str">
        <f>"Mediq Suisse AG"</f>
        <v>Mediq Suisse AG</v>
      </c>
      <c r="K151" s="12" t="str">
        <f>"Rosengartenstrasse 25"</f>
        <v>Rosengartenstrasse 25</v>
      </c>
      <c r="L151" s="12" t="str">
        <f>"CH-8608"</f>
        <v>CH-8608</v>
      </c>
      <c r="M151" s="12" t="str">
        <f>"Bubikon"</f>
        <v>Bubikon</v>
      </c>
      <c r="N151" s="12" t="str">
        <f>"CHRN-AR-20001658"</f>
        <v>CHRN-AR-20001658</v>
      </c>
      <c r="O151" s="12" t="str">
        <f>"KT001216"</f>
        <v>KT001216</v>
      </c>
      <c r="P151" s="13" t="str">
        <f>"Mediq Suisse AG"</f>
        <v>Mediq Suisse AG</v>
      </c>
    </row>
    <row r="152" spans="1:16" x14ac:dyDescent="0.15">
      <c r="A152" s="11" t="str">
        <f>"4102425-1"</f>
        <v>4102425-1</v>
      </c>
      <c r="B152" s="12" t="str">
        <f>"Klinion U-Handschuhe Vinyl S|weiss"</f>
        <v>Klinion U-Handschuhe Vinyl S|weiss</v>
      </c>
      <c r="C152" s="12" t="str">
        <f>"MDR Risikoklasse I"</f>
        <v>MDR Risikoklasse I</v>
      </c>
      <c r="D152" s="12" t="str">
        <f>"KT000099"</f>
        <v>KT000099</v>
      </c>
      <c r="E152" s="12" t="str">
        <f>"MEDIQ MEDECO"</f>
        <v>MEDIQ MEDECO</v>
      </c>
      <c r="F152" s="12" t="str">
        <f>"Brandpuntlaan Zuid 14"</f>
        <v>Brandpuntlaan Zuid 14</v>
      </c>
      <c r="G152" s="12" t="str">
        <f>"NL-2665 NZ"</f>
        <v>NL-2665 NZ</v>
      </c>
      <c r="H152" s="12" t="str">
        <f>"Bleiswijk"</f>
        <v>Bleiswijk</v>
      </c>
      <c r="I152" s="12" t="str">
        <f>"KT001216"</f>
        <v>KT001216</v>
      </c>
      <c r="J152" s="12" t="str">
        <f>"Mediq Suisse AG"</f>
        <v>Mediq Suisse AG</v>
      </c>
      <c r="K152" s="12" t="str">
        <f>"Rosengartenstrasse 25"</f>
        <v>Rosengartenstrasse 25</v>
      </c>
      <c r="L152" s="12" t="str">
        <f>"CH-8608"</f>
        <v>CH-8608</v>
      </c>
      <c r="M152" s="12" t="str">
        <f>"Bubikon"</f>
        <v>Bubikon</v>
      </c>
      <c r="N152" s="12" t="str">
        <f>"CHRN-AR-20001658"</f>
        <v>CHRN-AR-20001658</v>
      </c>
      <c r="O152" s="12" t="str">
        <f>"KT001216"</f>
        <v>KT001216</v>
      </c>
      <c r="P152" s="13" t="str">
        <f>"Mediq Suisse AG"</f>
        <v>Mediq Suisse AG</v>
      </c>
    </row>
    <row r="153" spans="1:16" x14ac:dyDescent="0.15">
      <c r="A153" s="11" t="str">
        <f>"4102426-1"</f>
        <v>4102426-1</v>
      </c>
      <c r="B153" s="12" t="str">
        <f>"Klinion U-Handschuhe Vinyl M|weiss"</f>
        <v>Klinion U-Handschuhe Vinyl M|weiss</v>
      </c>
      <c r="C153" s="12" t="str">
        <f>"MDR Risikoklasse I"</f>
        <v>MDR Risikoklasse I</v>
      </c>
      <c r="D153" s="12" t="str">
        <f>"KT000099"</f>
        <v>KT000099</v>
      </c>
      <c r="E153" s="12" t="str">
        <f>"MEDIQ MEDECO"</f>
        <v>MEDIQ MEDECO</v>
      </c>
      <c r="F153" s="12" t="str">
        <f>"Brandpuntlaan Zuid 14"</f>
        <v>Brandpuntlaan Zuid 14</v>
      </c>
      <c r="G153" s="12" t="str">
        <f>"NL-2665 NZ"</f>
        <v>NL-2665 NZ</v>
      </c>
      <c r="H153" s="12" t="str">
        <f>"Bleiswijk"</f>
        <v>Bleiswijk</v>
      </c>
      <c r="I153" s="12" t="str">
        <f>"KT001216"</f>
        <v>KT001216</v>
      </c>
      <c r="J153" s="12" t="str">
        <f>"Mediq Suisse AG"</f>
        <v>Mediq Suisse AG</v>
      </c>
      <c r="K153" s="12" t="str">
        <f>"Rosengartenstrasse 25"</f>
        <v>Rosengartenstrasse 25</v>
      </c>
      <c r="L153" s="12" t="str">
        <f>"CH-8608"</f>
        <v>CH-8608</v>
      </c>
      <c r="M153" s="12" t="str">
        <f>"Bubikon"</f>
        <v>Bubikon</v>
      </c>
      <c r="N153" s="12" t="str">
        <f>"CHRN-AR-20001658"</f>
        <v>CHRN-AR-20001658</v>
      </c>
      <c r="O153" s="12" t="str">
        <f>"KT001216"</f>
        <v>KT001216</v>
      </c>
      <c r="P153" s="13" t="str">
        <f>"Mediq Suisse AG"</f>
        <v>Mediq Suisse AG</v>
      </c>
    </row>
    <row r="154" spans="1:16" x14ac:dyDescent="0.15">
      <c r="A154" s="11" t="str">
        <f>"4102427-1"</f>
        <v>4102427-1</v>
      </c>
      <c r="B154" s="12" t="str">
        <f>"Klinion U-Handschuhe Vinyl L|weiss"</f>
        <v>Klinion U-Handschuhe Vinyl L|weiss</v>
      </c>
      <c r="C154" s="12" t="str">
        <f>"MDR Risikoklasse I"</f>
        <v>MDR Risikoklasse I</v>
      </c>
      <c r="D154" s="12" t="str">
        <f>"KT000099"</f>
        <v>KT000099</v>
      </c>
      <c r="E154" s="12" t="str">
        <f>"MEDIQ MEDECO"</f>
        <v>MEDIQ MEDECO</v>
      </c>
      <c r="F154" s="12" t="str">
        <f>"Brandpuntlaan Zuid 14"</f>
        <v>Brandpuntlaan Zuid 14</v>
      </c>
      <c r="G154" s="12" t="str">
        <f>"NL-2665 NZ"</f>
        <v>NL-2665 NZ</v>
      </c>
      <c r="H154" s="12" t="str">
        <f>"Bleiswijk"</f>
        <v>Bleiswijk</v>
      </c>
      <c r="I154" s="12" t="str">
        <f>"KT001216"</f>
        <v>KT001216</v>
      </c>
      <c r="J154" s="12" t="str">
        <f>"Mediq Suisse AG"</f>
        <v>Mediq Suisse AG</v>
      </c>
      <c r="K154" s="12" t="str">
        <f>"Rosengartenstrasse 25"</f>
        <v>Rosengartenstrasse 25</v>
      </c>
      <c r="L154" s="12" t="str">
        <f>"CH-8608"</f>
        <v>CH-8608</v>
      </c>
      <c r="M154" s="12" t="str">
        <f>"Bubikon"</f>
        <v>Bubikon</v>
      </c>
      <c r="N154" s="12" t="str">
        <f>"CHRN-AR-20001658"</f>
        <v>CHRN-AR-20001658</v>
      </c>
      <c r="O154" s="12" t="str">
        <f>"KT001216"</f>
        <v>KT001216</v>
      </c>
      <c r="P154" s="13" t="str">
        <f>"Mediq Suisse AG"</f>
        <v>Mediq Suisse AG</v>
      </c>
    </row>
    <row r="155" spans="1:16" x14ac:dyDescent="0.15">
      <c r="A155" s="11" t="str">
        <f>"4102428-1"</f>
        <v>4102428-1</v>
      </c>
      <c r="B155" s="12" t="str">
        <f>"Klinion U-Handschuhe Vinyl XL|weiss"</f>
        <v>Klinion U-Handschuhe Vinyl XL|weiss</v>
      </c>
      <c r="C155" s="12" t="str">
        <f>"MDR Risikoklasse I"</f>
        <v>MDR Risikoklasse I</v>
      </c>
      <c r="D155" s="12" t="str">
        <f>"KT000099"</f>
        <v>KT000099</v>
      </c>
      <c r="E155" s="12" t="str">
        <f>"MEDIQ MEDECO"</f>
        <v>MEDIQ MEDECO</v>
      </c>
      <c r="F155" s="12" t="str">
        <f>"Brandpuntlaan Zuid 14"</f>
        <v>Brandpuntlaan Zuid 14</v>
      </c>
      <c r="G155" s="12" t="str">
        <f>"NL-2665 NZ"</f>
        <v>NL-2665 NZ</v>
      </c>
      <c r="H155" s="12" t="str">
        <f>"Bleiswijk"</f>
        <v>Bleiswijk</v>
      </c>
      <c r="I155" s="12" t="str">
        <f>"KT001216"</f>
        <v>KT001216</v>
      </c>
      <c r="J155" s="12" t="str">
        <f>"Mediq Suisse AG"</f>
        <v>Mediq Suisse AG</v>
      </c>
      <c r="K155" s="12" t="str">
        <f>"Rosengartenstrasse 25"</f>
        <v>Rosengartenstrasse 25</v>
      </c>
      <c r="L155" s="12" t="str">
        <f>"CH-8608"</f>
        <v>CH-8608</v>
      </c>
      <c r="M155" s="12" t="str">
        <f>"Bubikon"</f>
        <v>Bubikon</v>
      </c>
      <c r="N155" s="12" t="str">
        <f>"CHRN-AR-20001658"</f>
        <v>CHRN-AR-20001658</v>
      </c>
      <c r="O155" s="12" t="str">
        <f>"KT001216"</f>
        <v>KT001216</v>
      </c>
      <c r="P155" s="13" t="str">
        <f>"Mediq Suisse AG"</f>
        <v>Mediq Suisse AG</v>
      </c>
    </row>
    <row r="156" spans="1:16" x14ac:dyDescent="0.15">
      <c r="A156" s="11" t="str">
        <f>"4111017"</f>
        <v>4111017</v>
      </c>
      <c r="B156" s="12" t="str">
        <f>"Klinipress Gazekompr.|steril|12fach|5x5cm|100x1"</f>
        <v>Klinipress Gazekompr.|steril|12fach|5x5cm|100x1</v>
      </c>
      <c r="C156" s="12" t="str">
        <f>"MDR Risikoklasse Is"</f>
        <v>MDR Risikoklasse Is</v>
      </c>
      <c r="D156" s="12" t="str">
        <f>"KT000099"</f>
        <v>KT000099</v>
      </c>
      <c r="E156" s="12" t="str">
        <f>"MEDIQ MEDECO"</f>
        <v>MEDIQ MEDECO</v>
      </c>
      <c r="F156" s="12" t="str">
        <f>"Brandpuntlaan Zuid 14"</f>
        <v>Brandpuntlaan Zuid 14</v>
      </c>
      <c r="G156" s="12" t="str">
        <f>"NL-2665 NZ"</f>
        <v>NL-2665 NZ</v>
      </c>
      <c r="H156" s="12" t="str">
        <f>"Bleiswijk"</f>
        <v>Bleiswijk</v>
      </c>
      <c r="I156" s="12" t="str">
        <f>"KT001216"</f>
        <v>KT001216</v>
      </c>
      <c r="J156" s="12" t="str">
        <f>"Mediq Suisse AG"</f>
        <v>Mediq Suisse AG</v>
      </c>
      <c r="K156" s="12" t="str">
        <f>"Rosengartenstrasse 25"</f>
        <v>Rosengartenstrasse 25</v>
      </c>
      <c r="L156" s="12" t="str">
        <f>"CH-8608"</f>
        <v>CH-8608</v>
      </c>
      <c r="M156" s="12" t="str">
        <f>"Bubikon"</f>
        <v>Bubikon</v>
      </c>
      <c r="N156" s="12" t="str">
        <f>"CHRN-AR-20001658"</f>
        <v>CHRN-AR-20001658</v>
      </c>
      <c r="O156" s="12" t="str">
        <f>"KT001216"</f>
        <v>KT001216</v>
      </c>
      <c r="P156" s="13" t="str">
        <f>"Mediq Suisse AG"</f>
        <v>Mediq Suisse AG</v>
      </c>
    </row>
    <row r="157" spans="1:16" x14ac:dyDescent="0.15">
      <c r="A157" s="11" t="str">
        <f>"4111018"</f>
        <v>4111018</v>
      </c>
      <c r="B157" s="12" t="str">
        <f>"Klinipress Gazekompr.|steril|12fach|5x5cm|50x2"</f>
        <v>Klinipress Gazekompr.|steril|12fach|5x5cm|50x2</v>
      </c>
      <c r="C157" s="12" t="str">
        <f>"MDR Risikoklasse Is"</f>
        <v>MDR Risikoklasse Is</v>
      </c>
      <c r="D157" s="12" t="str">
        <f>"KT000099"</f>
        <v>KT000099</v>
      </c>
      <c r="E157" s="12" t="str">
        <f>"MEDIQ MEDECO"</f>
        <v>MEDIQ MEDECO</v>
      </c>
      <c r="F157" s="12" t="str">
        <f>"Brandpuntlaan Zuid 14"</f>
        <v>Brandpuntlaan Zuid 14</v>
      </c>
      <c r="G157" s="12" t="str">
        <f>"NL-2665 NZ"</f>
        <v>NL-2665 NZ</v>
      </c>
      <c r="H157" s="12" t="str">
        <f>"Bleiswijk"</f>
        <v>Bleiswijk</v>
      </c>
      <c r="I157" s="12" t="str">
        <f>"KT001216"</f>
        <v>KT001216</v>
      </c>
      <c r="J157" s="12" t="str">
        <f>"Mediq Suisse AG"</f>
        <v>Mediq Suisse AG</v>
      </c>
      <c r="K157" s="12" t="str">
        <f>"Rosengartenstrasse 25"</f>
        <v>Rosengartenstrasse 25</v>
      </c>
      <c r="L157" s="12" t="str">
        <f>"CH-8608"</f>
        <v>CH-8608</v>
      </c>
      <c r="M157" s="12" t="str">
        <f>"Bubikon"</f>
        <v>Bubikon</v>
      </c>
      <c r="N157" s="12" t="str">
        <f>"CHRN-AR-20001658"</f>
        <v>CHRN-AR-20001658</v>
      </c>
      <c r="O157" s="12" t="str">
        <f>"KT001216"</f>
        <v>KT001216</v>
      </c>
      <c r="P157" s="13" t="str">
        <f>"Mediq Suisse AG"</f>
        <v>Mediq Suisse AG</v>
      </c>
    </row>
    <row r="158" spans="1:16" x14ac:dyDescent="0.15">
      <c r="A158" s="11" t="str">
        <f>"4111025"</f>
        <v>4111025</v>
      </c>
      <c r="B158" s="12" t="str">
        <f>"Klinipress Gazekompr.|unsteril|8fach|5x5cm|100"</f>
        <v>Klinipress Gazekompr.|unsteril|8fach|5x5cm|100</v>
      </c>
      <c r="C158" s="12" t="str">
        <f>"MDR Risikoklasse I"</f>
        <v>MDR Risikoklasse I</v>
      </c>
      <c r="D158" s="12" t="str">
        <f>"KT000099"</f>
        <v>KT000099</v>
      </c>
      <c r="E158" s="12" t="str">
        <f>"MEDIQ MEDECO"</f>
        <v>MEDIQ MEDECO</v>
      </c>
      <c r="F158" s="12" t="str">
        <f>"Brandpuntlaan Zuid 14"</f>
        <v>Brandpuntlaan Zuid 14</v>
      </c>
      <c r="G158" s="12" t="str">
        <f>"NL-2665 NZ"</f>
        <v>NL-2665 NZ</v>
      </c>
      <c r="H158" s="12" t="str">
        <f>"Bleiswijk"</f>
        <v>Bleiswijk</v>
      </c>
      <c r="I158" s="12" t="str">
        <f>"KT001216"</f>
        <v>KT001216</v>
      </c>
      <c r="J158" s="12" t="str">
        <f>"Mediq Suisse AG"</f>
        <v>Mediq Suisse AG</v>
      </c>
      <c r="K158" s="12" t="str">
        <f>"Rosengartenstrasse 25"</f>
        <v>Rosengartenstrasse 25</v>
      </c>
      <c r="L158" s="12" t="str">
        <f>"CH-8608"</f>
        <v>CH-8608</v>
      </c>
      <c r="M158" s="12" t="str">
        <f>"Bubikon"</f>
        <v>Bubikon</v>
      </c>
      <c r="N158" s="12" t="str">
        <f>"CHRN-AR-20001658"</f>
        <v>CHRN-AR-20001658</v>
      </c>
      <c r="O158" s="12" t="str">
        <f>"KT001216"</f>
        <v>KT001216</v>
      </c>
      <c r="P158" s="13" t="str">
        <f>"Mediq Suisse AG"</f>
        <v>Mediq Suisse AG</v>
      </c>
    </row>
    <row r="159" spans="1:16" x14ac:dyDescent="0.15">
      <c r="A159" s="11" t="str">
        <f>"4111028"</f>
        <v>4111028</v>
      </c>
      <c r="B159" s="12" t="str">
        <f>"Klinipress Gazekompr.|unsteril|12fach|5x5cm|100"</f>
        <v>Klinipress Gazekompr.|unsteril|12fach|5x5cm|100</v>
      </c>
      <c r="C159" s="12" t="str">
        <f>"MDR Risikoklasse I"</f>
        <v>MDR Risikoklasse I</v>
      </c>
      <c r="D159" s="12" t="str">
        <f>"KT000099"</f>
        <v>KT000099</v>
      </c>
      <c r="E159" s="12" t="str">
        <f>"MEDIQ MEDECO"</f>
        <v>MEDIQ MEDECO</v>
      </c>
      <c r="F159" s="12" t="str">
        <f>"Brandpuntlaan Zuid 14"</f>
        <v>Brandpuntlaan Zuid 14</v>
      </c>
      <c r="G159" s="12" t="str">
        <f>"NL-2665 NZ"</f>
        <v>NL-2665 NZ</v>
      </c>
      <c r="H159" s="12" t="str">
        <f>"Bleiswijk"</f>
        <v>Bleiswijk</v>
      </c>
      <c r="I159" s="12" t="str">
        <f>"KT001216"</f>
        <v>KT001216</v>
      </c>
      <c r="J159" s="12" t="str">
        <f>"Mediq Suisse AG"</f>
        <v>Mediq Suisse AG</v>
      </c>
      <c r="K159" s="12" t="str">
        <f>"Rosengartenstrasse 25"</f>
        <v>Rosengartenstrasse 25</v>
      </c>
      <c r="L159" s="12" t="str">
        <f>"CH-8608"</f>
        <v>CH-8608</v>
      </c>
      <c r="M159" s="12" t="str">
        <f>"Bubikon"</f>
        <v>Bubikon</v>
      </c>
      <c r="N159" s="12" t="str">
        <f>"CHRN-AR-20001658"</f>
        <v>CHRN-AR-20001658</v>
      </c>
      <c r="O159" s="12" t="str">
        <f>"KT001216"</f>
        <v>KT001216</v>
      </c>
      <c r="P159" s="13" t="str">
        <f>"Mediq Suisse AG"</f>
        <v>Mediq Suisse AG</v>
      </c>
    </row>
    <row r="160" spans="1:16" x14ac:dyDescent="0.15">
      <c r="A160" s="11" t="str">
        <f>"4111082"</f>
        <v>4111082</v>
      </c>
      <c r="B160" s="12" t="str">
        <f>"Klinipress Gazekompr.|steril|8fach|10x10cm|100x1"</f>
        <v>Klinipress Gazekompr.|steril|8fach|10x10cm|100x1</v>
      </c>
      <c r="C160" s="12" t="str">
        <f>"MDR Risikoklasse Is"</f>
        <v>MDR Risikoklasse Is</v>
      </c>
      <c r="D160" s="12" t="str">
        <f>"KT000099"</f>
        <v>KT000099</v>
      </c>
      <c r="E160" s="12" t="str">
        <f>"MEDIQ MEDECO"</f>
        <v>MEDIQ MEDECO</v>
      </c>
      <c r="F160" s="12" t="str">
        <f>"Brandpuntlaan Zuid 14"</f>
        <v>Brandpuntlaan Zuid 14</v>
      </c>
      <c r="G160" s="12" t="str">
        <f>"NL-2665 NZ"</f>
        <v>NL-2665 NZ</v>
      </c>
      <c r="H160" s="12" t="str">
        <f>"Bleiswijk"</f>
        <v>Bleiswijk</v>
      </c>
      <c r="I160" s="12" t="str">
        <f>"KT001216"</f>
        <v>KT001216</v>
      </c>
      <c r="J160" s="12" t="str">
        <f>"Mediq Suisse AG"</f>
        <v>Mediq Suisse AG</v>
      </c>
      <c r="K160" s="12" t="str">
        <f>"Rosengartenstrasse 25"</f>
        <v>Rosengartenstrasse 25</v>
      </c>
      <c r="L160" s="12" t="str">
        <f>"CH-8608"</f>
        <v>CH-8608</v>
      </c>
      <c r="M160" s="12" t="str">
        <f>"Bubikon"</f>
        <v>Bubikon</v>
      </c>
      <c r="N160" s="12" t="str">
        <f>"CHRN-AR-20001658"</f>
        <v>CHRN-AR-20001658</v>
      </c>
      <c r="O160" s="12" t="str">
        <f>"KT001216"</f>
        <v>KT001216</v>
      </c>
      <c r="P160" s="13" t="str">
        <f>"Mediq Suisse AG"</f>
        <v>Mediq Suisse AG</v>
      </c>
    </row>
    <row r="161" spans="1:16" x14ac:dyDescent="0.15">
      <c r="A161" s="11" t="str">
        <f>"4111084"</f>
        <v>4111084</v>
      </c>
      <c r="B161" s="12" t="str">
        <f>"Klinipress Gazekompr.|steril|12fach|10x10cm|25x1"</f>
        <v>Klinipress Gazekompr.|steril|12fach|10x10cm|25x1</v>
      </c>
      <c r="C161" s="12" t="str">
        <f>"MDR Risikoklasse Is"</f>
        <v>MDR Risikoklasse Is</v>
      </c>
      <c r="D161" s="12" t="str">
        <f>"KT000099"</f>
        <v>KT000099</v>
      </c>
      <c r="E161" s="12" t="str">
        <f>"MEDIQ MEDECO"</f>
        <v>MEDIQ MEDECO</v>
      </c>
      <c r="F161" s="12" t="str">
        <f>"Brandpuntlaan Zuid 14"</f>
        <v>Brandpuntlaan Zuid 14</v>
      </c>
      <c r="G161" s="12" t="str">
        <f>"NL-2665 NZ"</f>
        <v>NL-2665 NZ</v>
      </c>
      <c r="H161" s="12" t="str">
        <f>"Bleiswijk"</f>
        <v>Bleiswijk</v>
      </c>
      <c r="I161" s="12" t="str">
        <f>"KT001216"</f>
        <v>KT001216</v>
      </c>
      <c r="J161" s="12" t="str">
        <f>"Mediq Suisse AG"</f>
        <v>Mediq Suisse AG</v>
      </c>
      <c r="K161" s="12" t="str">
        <f>"Rosengartenstrasse 25"</f>
        <v>Rosengartenstrasse 25</v>
      </c>
      <c r="L161" s="12" t="str">
        <f>"CH-8608"</f>
        <v>CH-8608</v>
      </c>
      <c r="M161" s="12" t="str">
        <f>"Bubikon"</f>
        <v>Bubikon</v>
      </c>
      <c r="N161" s="12" t="str">
        <f>"CHRN-AR-20001658"</f>
        <v>CHRN-AR-20001658</v>
      </c>
      <c r="O161" s="12" t="str">
        <f>"KT001216"</f>
        <v>KT001216</v>
      </c>
      <c r="P161" s="13" t="str">
        <f>"Mediq Suisse AG"</f>
        <v>Mediq Suisse AG</v>
      </c>
    </row>
    <row r="162" spans="1:16" x14ac:dyDescent="0.15">
      <c r="A162" s="11" t="str">
        <f>"4111085"</f>
        <v>4111085</v>
      </c>
      <c r="B162" s="12" t="str">
        <f>"Klinipress Gazekompr.|steril|12fach|10x10cm|100x1"</f>
        <v>Klinipress Gazekompr.|steril|12fach|10x10cm|100x1</v>
      </c>
      <c r="C162" s="12" t="str">
        <f>"MDR Risikoklasse Is"</f>
        <v>MDR Risikoklasse Is</v>
      </c>
      <c r="D162" s="12" t="str">
        <f>"KT000099"</f>
        <v>KT000099</v>
      </c>
      <c r="E162" s="12" t="str">
        <f>"MEDIQ MEDECO"</f>
        <v>MEDIQ MEDECO</v>
      </c>
      <c r="F162" s="12" t="str">
        <f>"Brandpuntlaan Zuid 14"</f>
        <v>Brandpuntlaan Zuid 14</v>
      </c>
      <c r="G162" s="12" t="str">
        <f>"NL-2665 NZ"</f>
        <v>NL-2665 NZ</v>
      </c>
      <c r="H162" s="12" t="str">
        <f>"Bleiswijk"</f>
        <v>Bleiswijk</v>
      </c>
      <c r="I162" s="12" t="str">
        <f>"KT001216"</f>
        <v>KT001216</v>
      </c>
      <c r="J162" s="12" t="str">
        <f>"Mediq Suisse AG"</f>
        <v>Mediq Suisse AG</v>
      </c>
      <c r="K162" s="12" t="str">
        <f>"Rosengartenstrasse 25"</f>
        <v>Rosengartenstrasse 25</v>
      </c>
      <c r="L162" s="12" t="str">
        <f>"CH-8608"</f>
        <v>CH-8608</v>
      </c>
      <c r="M162" s="12" t="str">
        <f>"Bubikon"</f>
        <v>Bubikon</v>
      </c>
      <c r="N162" s="12" t="str">
        <f>"CHRN-AR-20001658"</f>
        <v>CHRN-AR-20001658</v>
      </c>
      <c r="O162" s="12" t="str">
        <f>"KT001216"</f>
        <v>KT001216</v>
      </c>
      <c r="P162" s="13" t="str">
        <f>"Mediq Suisse AG"</f>
        <v>Mediq Suisse AG</v>
      </c>
    </row>
    <row r="163" spans="1:16" x14ac:dyDescent="0.15">
      <c r="A163" s="11" t="str">
        <f>"4111086"</f>
        <v>4111086</v>
      </c>
      <c r="B163" s="12" t="str">
        <f>"Klinipress Gazekompr.|steril|12fach|10x10cm|50x2"</f>
        <v>Klinipress Gazekompr.|steril|12fach|10x10cm|50x2</v>
      </c>
      <c r="C163" s="12" t="str">
        <f>"MDR Risikoklasse Is"</f>
        <v>MDR Risikoklasse Is</v>
      </c>
      <c r="D163" s="12" t="str">
        <f>"KT000099"</f>
        <v>KT000099</v>
      </c>
      <c r="E163" s="12" t="str">
        <f>"MEDIQ MEDECO"</f>
        <v>MEDIQ MEDECO</v>
      </c>
      <c r="F163" s="12" t="str">
        <f>"Brandpuntlaan Zuid 14"</f>
        <v>Brandpuntlaan Zuid 14</v>
      </c>
      <c r="G163" s="12" t="str">
        <f>"NL-2665 NZ"</f>
        <v>NL-2665 NZ</v>
      </c>
      <c r="H163" s="12" t="str">
        <f>"Bleiswijk"</f>
        <v>Bleiswijk</v>
      </c>
      <c r="I163" s="12" t="str">
        <f>"KT001216"</f>
        <v>KT001216</v>
      </c>
      <c r="J163" s="12" t="str">
        <f>"Mediq Suisse AG"</f>
        <v>Mediq Suisse AG</v>
      </c>
      <c r="K163" s="12" t="str">
        <f>"Rosengartenstrasse 25"</f>
        <v>Rosengartenstrasse 25</v>
      </c>
      <c r="L163" s="12" t="str">
        <f>"CH-8608"</f>
        <v>CH-8608</v>
      </c>
      <c r="M163" s="12" t="str">
        <f>"Bubikon"</f>
        <v>Bubikon</v>
      </c>
      <c r="N163" s="12" t="str">
        <f>"CHRN-AR-20001658"</f>
        <v>CHRN-AR-20001658</v>
      </c>
      <c r="O163" s="12" t="str">
        <f>"KT001216"</f>
        <v>KT001216</v>
      </c>
      <c r="P163" s="13" t="str">
        <f>"Mediq Suisse AG"</f>
        <v>Mediq Suisse AG</v>
      </c>
    </row>
    <row r="164" spans="1:16" x14ac:dyDescent="0.15">
      <c r="A164" s="11" t="str">
        <f>"4111098"</f>
        <v>4111098</v>
      </c>
      <c r="B164" s="12" t="str">
        <f>"Klinipress Gazekompr.|unsteril|8fach|10x10cm|100"</f>
        <v>Klinipress Gazekompr.|unsteril|8fach|10x10cm|100</v>
      </c>
      <c r="C164" s="12" t="str">
        <f>"MDR Risikoklasse I"</f>
        <v>MDR Risikoklasse I</v>
      </c>
      <c r="D164" s="12" t="str">
        <f>"KT000099"</f>
        <v>KT000099</v>
      </c>
      <c r="E164" s="12" t="str">
        <f>"MEDIQ MEDECO"</f>
        <v>MEDIQ MEDECO</v>
      </c>
      <c r="F164" s="12" t="str">
        <f>"Brandpuntlaan Zuid 14"</f>
        <v>Brandpuntlaan Zuid 14</v>
      </c>
      <c r="G164" s="12" t="str">
        <f>"NL-2665 NZ"</f>
        <v>NL-2665 NZ</v>
      </c>
      <c r="H164" s="12" t="str">
        <f>"Bleiswijk"</f>
        <v>Bleiswijk</v>
      </c>
      <c r="I164" s="12" t="str">
        <f>"KT001216"</f>
        <v>KT001216</v>
      </c>
      <c r="J164" s="12" t="str">
        <f>"Mediq Suisse AG"</f>
        <v>Mediq Suisse AG</v>
      </c>
      <c r="K164" s="12" t="str">
        <f>"Rosengartenstrasse 25"</f>
        <v>Rosengartenstrasse 25</v>
      </c>
      <c r="L164" s="12" t="str">
        <f>"CH-8608"</f>
        <v>CH-8608</v>
      </c>
      <c r="M164" s="12" t="str">
        <f>"Bubikon"</f>
        <v>Bubikon</v>
      </c>
      <c r="N164" s="12" t="str">
        <f>"CHRN-AR-20001658"</f>
        <v>CHRN-AR-20001658</v>
      </c>
      <c r="O164" s="12" t="str">
        <f>"KT001216"</f>
        <v>KT001216</v>
      </c>
      <c r="P164" s="13" t="str">
        <f>"Mediq Suisse AG"</f>
        <v>Mediq Suisse AG</v>
      </c>
    </row>
    <row r="165" spans="1:16" x14ac:dyDescent="0.15">
      <c r="A165" s="11" t="str">
        <f>"4111101"</f>
        <v>4111101</v>
      </c>
      <c r="B165" s="12" t="str">
        <f>"Klinipress Gazekompr.|unsteril|12fach|10x10cm|100"</f>
        <v>Klinipress Gazekompr.|unsteril|12fach|10x10cm|100</v>
      </c>
      <c r="C165" s="12" t="str">
        <f>"MDR Risikoklasse I"</f>
        <v>MDR Risikoklasse I</v>
      </c>
      <c r="D165" s="12" t="str">
        <f>"KT000099"</f>
        <v>KT000099</v>
      </c>
      <c r="E165" s="12" t="str">
        <f>"MEDIQ MEDECO"</f>
        <v>MEDIQ MEDECO</v>
      </c>
      <c r="F165" s="12" t="str">
        <f>"Brandpuntlaan Zuid 14"</f>
        <v>Brandpuntlaan Zuid 14</v>
      </c>
      <c r="G165" s="12" t="str">
        <f>"NL-2665 NZ"</f>
        <v>NL-2665 NZ</v>
      </c>
      <c r="H165" s="12" t="str">
        <f>"Bleiswijk"</f>
        <v>Bleiswijk</v>
      </c>
      <c r="I165" s="12" t="str">
        <f>"KT001216"</f>
        <v>KT001216</v>
      </c>
      <c r="J165" s="12" t="str">
        <f>"Mediq Suisse AG"</f>
        <v>Mediq Suisse AG</v>
      </c>
      <c r="K165" s="12" t="str">
        <f>"Rosengartenstrasse 25"</f>
        <v>Rosengartenstrasse 25</v>
      </c>
      <c r="L165" s="12" t="str">
        <f>"CH-8608"</f>
        <v>CH-8608</v>
      </c>
      <c r="M165" s="12" t="str">
        <f>"Bubikon"</f>
        <v>Bubikon</v>
      </c>
      <c r="N165" s="12" t="str">
        <f>"CHRN-AR-20001658"</f>
        <v>CHRN-AR-20001658</v>
      </c>
      <c r="O165" s="12" t="str">
        <f>"KT001216"</f>
        <v>KT001216</v>
      </c>
      <c r="P165" s="13" t="str">
        <f>"Mediq Suisse AG"</f>
        <v>Mediq Suisse AG</v>
      </c>
    </row>
    <row r="166" spans="1:16" x14ac:dyDescent="0.15">
      <c r="A166" s="11" t="str">
        <f>"4111113"</f>
        <v>4111113</v>
      </c>
      <c r="B166" s="12" t="str">
        <f>"Klinipress Gazekompr.|steril|12fach|10x20cm|40x2"</f>
        <v>Klinipress Gazekompr.|steril|12fach|10x20cm|40x2</v>
      </c>
      <c r="C166" s="12" t="str">
        <f>"MDR Risikoklasse Is"</f>
        <v>MDR Risikoklasse Is</v>
      </c>
      <c r="D166" s="12" t="str">
        <f>"KT000099"</f>
        <v>KT000099</v>
      </c>
      <c r="E166" s="12" t="str">
        <f>"MEDIQ MEDECO"</f>
        <v>MEDIQ MEDECO</v>
      </c>
      <c r="F166" s="12" t="str">
        <f>"Brandpuntlaan Zuid 14"</f>
        <v>Brandpuntlaan Zuid 14</v>
      </c>
      <c r="G166" s="12" t="str">
        <f>"NL-2665 NZ"</f>
        <v>NL-2665 NZ</v>
      </c>
      <c r="H166" s="12" t="str">
        <f>"Bleiswijk"</f>
        <v>Bleiswijk</v>
      </c>
      <c r="I166" s="12" t="str">
        <f>"KT001216"</f>
        <v>KT001216</v>
      </c>
      <c r="J166" s="12" t="str">
        <f>"Mediq Suisse AG"</f>
        <v>Mediq Suisse AG</v>
      </c>
      <c r="K166" s="12" t="str">
        <f>"Rosengartenstrasse 25"</f>
        <v>Rosengartenstrasse 25</v>
      </c>
      <c r="L166" s="12" t="str">
        <f>"CH-8608"</f>
        <v>CH-8608</v>
      </c>
      <c r="M166" s="12" t="str">
        <f>"Bubikon"</f>
        <v>Bubikon</v>
      </c>
      <c r="N166" s="12" t="str">
        <f>"CHRN-AR-20001658"</f>
        <v>CHRN-AR-20001658</v>
      </c>
      <c r="O166" s="12" t="str">
        <f>"KT001216"</f>
        <v>KT001216</v>
      </c>
      <c r="P166" s="13" t="str">
        <f>"Mediq Suisse AG"</f>
        <v>Mediq Suisse AG</v>
      </c>
    </row>
    <row r="167" spans="1:16" x14ac:dyDescent="0.15">
      <c r="A167" s="11" t="str">
        <f>"4111124"</f>
        <v>4111124</v>
      </c>
      <c r="B167" s="12" t="str">
        <f>"Klinipress Gazekompr.|unsteril|12fach|10x20cm|50"</f>
        <v>Klinipress Gazekompr.|unsteril|12fach|10x20cm|50</v>
      </c>
      <c r="C167" s="12" t="str">
        <f>"MDR Risikoklasse I"</f>
        <v>MDR Risikoklasse I</v>
      </c>
      <c r="D167" s="12" t="str">
        <f>"KT000099"</f>
        <v>KT000099</v>
      </c>
      <c r="E167" s="12" t="str">
        <f>"MEDIQ MEDECO"</f>
        <v>MEDIQ MEDECO</v>
      </c>
      <c r="F167" s="12" t="str">
        <f>"Brandpuntlaan Zuid 14"</f>
        <v>Brandpuntlaan Zuid 14</v>
      </c>
      <c r="G167" s="12" t="str">
        <f>"NL-2665 NZ"</f>
        <v>NL-2665 NZ</v>
      </c>
      <c r="H167" s="12" t="str">
        <f>"Bleiswijk"</f>
        <v>Bleiswijk</v>
      </c>
      <c r="I167" s="12" t="str">
        <f>"KT001216"</f>
        <v>KT001216</v>
      </c>
      <c r="J167" s="12" t="str">
        <f>"Mediq Suisse AG"</f>
        <v>Mediq Suisse AG</v>
      </c>
      <c r="K167" s="12" t="str">
        <f>"Rosengartenstrasse 25"</f>
        <v>Rosengartenstrasse 25</v>
      </c>
      <c r="L167" s="12" t="str">
        <f>"CH-8608"</f>
        <v>CH-8608</v>
      </c>
      <c r="M167" s="12" t="str">
        <f>"Bubikon"</f>
        <v>Bubikon</v>
      </c>
      <c r="N167" s="12" t="str">
        <f>"CHRN-AR-20001658"</f>
        <v>CHRN-AR-20001658</v>
      </c>
      <c r="O167" s="12" t="str">
        <f>"KT001216"</f>
        <v>KT001216</v>
      </c>
      <c r="P167" s="13" t="str">
        <f>"Mediq Suisse AG"</f>
        <v>Mediq Suisse AG</v>
      </c>
    </row>
    <row r="168" spans="1:16" x14ac:dyDescent="0.15">
      <c r="A168" s="11" t="str">
        <f>"4115500"</f>
        <v>4115500</v>
      </c>
      <c r="B168" s="12" t="str">
        <f>"_Klinibond|Hautleim|steril|Ampulle 0.5gr"</f>
        <v>_Klinibond|Hautleim|steril|Ampulle 0.5gr</v>
      </c>
      <c r="C168" s="12" t="str">
        <f>"MDR Risikoklasse IIa"</f>
        <v>MDR Risikoklasse IIa</v>
      </c>
      <c r="D168" s="12" t="str">
        <f>"KT000099"</f>
        <v>KT000099</v>
      </c>
      <c r="E168" s="12" t="str">
        <f>"MEDIQ MEDECO"</f>
        <v>MEDIQ MEDECO</v>
      </c>
      <c r="F168" s="12" t="str">
        <f>"Brandpuntlaan Zuid 14"</f>
        <v>Brandpuntlaan Zuid 14</v>
      </c>
      <c r="G168" s="12" t="str">
        <f>"NL-2665 NZ"</f>
        <v>NL-2665 NZ</v>
      </c>
      <c r="H168" s="12" t="str">
        <f>"Bleiswijk"</f>
        <v>Bleiswijk</v>
      </c>
      <c r="I168" s="12" t="str">
        <f>"KT001216"</f>
        <v>KT001216</v>
      </c>
      <c r="J168" s="12" t="str">
        <f>"Mediq Suisse AG"</f>
        <v>Mediq Suisse AG</v>
      </c>
      <c r="K168" s="12" t="str">
        <f>"Rosengartenstrasse 25"</f>
        <v>Rosengartenstrasse 25</v>
      </c>
      <c r="L168" s="12" t="str">
        <f>"CH-8608"</f>
        <v>CH-8608</v>
      </c>
      <c r="M168" s="12" t="str">
        <f>"Bubikon"</f>
        <v>Bubikon</v>
      </c>
      <c r="N168" s="12" t="str">
        <f>"CHRN-AR-20001658"</f>
        <v>CHRN-AR-20001658</v>
      </c>
      <c r="O168" s="12" t="str">
        <f>"KT001216"</f>
        <v>KT001216</v>
      </c>
      <c r="P168" s="13" t="str">
        <f>"Mediq Suisse AG"</f>
        <v>Mediq Suisse AG</v>
      </c>
    </row>
    <row r="169" spans="1:16" x14ac:dyDescent="0.15">
      <c r="A169" s="11" t="str">
        <f>"4132227"</f>
        <v>4132227</v>
      </c>
      <c r="B169" s="12" t="str">
        <f>"Klinifix Elastic Bandage|4mx4cm|20x1"</f>
        <v>Klinifix Elastic Bandage|4mx4cm|20x1</v>
      </c>
      <c r="C169" s="12" t="str">
        <f>"MDR Risikoklasse I"</f>
        <v>MDR Risikoklasse I</v>
      </c>
      <c r="D169" s="12" t="str">
        <f>"KT000099"</f>
        <v>KT000099</v>
      </c>
      <c r="E169" s="12" t="str">
        <f>"MEDIQ MEDECO"</f>
        <v>MEDIQ MEDECO</v>
      </c>
      <c r="F169" s="12" t="str">
        <f>"Brandpuntlaan Zuid 14"</f>
        <v>Brandpuntlaan Zuid 14</v>
      </c>
      <c r="G169" s="12" t="str">
        <f>"NL-2665 NZ"</f>
        <v>NL-2665 NZ</v>
      </c>
      <c r="H169" s="12" t="str">
        <f>"Bleiswijk"</f>
        <v>Bleiswijk</v>
      </c>
      <c r="I169" s="12" t="str">
        <f>"KT001216"</f>
        <v>KT001216</v>
      </c>
      <c r="J169" s="12" t="str">
        <f>"Mediq Suisse AG"</f>
        <v>Mediq Suisse AG</v>
      </c>
      <c r="K169" s="12" t="str">
        <f>"Rosengartenstrasse 25"</f>
        <v>Rosengartenstrasse 25</v>
      </c>
      <c r="L169" s="12" t="str">
        <f>"CH-8608"</f>
        <v>CH-8608</v>
      </c>
      <c r="M169" s="12" t="str">
        <f>"Bubikon"</f>
        <v>Bubikon</v>
      </c>
      <c r="N169" s="12" t="str">
        <f>"CHRN-AR-20001658"</f>
        <v>CHRN-AR-20001658</v>
      </c>
      <c r="O169" s="12" t="str">
        <f>"KT001216"</f>
        <v>KT001216</v>
      </c>
      <c r="P169" s="13" t="str">
        <f>"Mediq Suisse AG"</f>
        <v>Mediq Suisse AG</v>
      </c>
    </row>
    <row r="170" spans="1:16" x14ac:dyDescent="0.15">
      <c r="A170" s="11" t="str">
        <f>"4132228"</f>
        <v>4132228</v>
      </c>
      <c r="B170" s="12" t="str">
        <f>"Klinifix Elastic Bandage|4mx6cm|20x1"</f>
        <v>Klinifix Elastic Bandage|4mx6cm|20x1</v>
      </c>
      <c r="C170" s="12" t="str">
        <f>"MDR Risikoklasse I"</f>
        <v>MDR Risikoklasse I</v>
      </c>
      <c r="D170" s="12" t="str">
        <f>"KT000099"</f>
        <v>KT000099</v>
      </c>
      <c r="E170" s="12" t="str">
        <f>"MEDIQ MEDECO"</f>
        <v>MEDIQ MEDECO</v>
      </c>
      <c r="F170" s="12" t="str">
        <f>"Brandpuntlaan Zuid 14"</f>
        <v>Brandpuntlaan Zuid 14</v>
      </c>
      <c r="G170" s="12" t="str">
        <f>"NL-2665 NZ"</f>
        <v>NL-2665 NZ</v>
      </c>
      <c r="H170" s="12" t="str">
        <f>"Bleiswijk"</f>
        <v>Bleiswijk</v>
      </c>
      <c r="I170" s="12" t="str">
        <f>"KT001216"</f>
        <v>KT001216</v>
      </c>
      <c r="J170" s="12" t="str">
        <f>"Mediq Suisse AG"</f>
        <v>Mediq Suisse AG</v>
      </c>
      <c r="K170" s="12" t="str">
        <f>"Rosengartenstrasse 25"</f>
        <v>Rosengartenstrasse 25</v>
      </c>
      <c r="L170" s="12" t="str">
        <f>"CH-8608"</f>
        <v>CH-8608</v>
      </c>
      <c r="M170" s="12" t="str">
        <f>"Bubikon"</f>
        <v>Bubikon</v>
      </c>
      <c r="N170" s="12" t="str">
        <f>"CHRN-AR-20001658"</f>
        <v>CHRN-AR-20001658</v>
      </c>
      <c r="O170" s="12" t="str">
        <f>"KT001216"</f>
        <v>KT001216</v>
      </c>
      <c r="P170" s="13" t="str">
        <f>"Mediq Suisse AG"</f>
        <v>Mediq Suisse AG</v>
      </c>
    </row>
    <row r="171" spans="1:16" x14ac:dyDescent="0.15">
      <c r="A171" s="11" t="str">
        <f>"4132229"</f>
        <v>4132229</v>
      </c>
      <c r="B171" s="12" t="str">
        <f>"Klinifix Elastic Bandage|4mx8cm|20x1"</f>
        <v>Klinifix Elastic Bandage|4mx8cm|20x1</v>
      </c>
      <c r="C171" s="12" t="str">
        <f>"MDR Risikoklasse I"</f>
        <v>MDR Risikoklasse I</v>
      </c>
      <c r="D171" s="12" t="str">
        <f>"KT000099"</f>
        <v>KT000099</v>
      </c>
      <c r="E171" s="12" t="str">
        <f>"MEDIQ MEDECO"</f>
        <v>MEDIQ MEDECO</v>
      </c>
      <c r="F171" s="12" t="str">
        <f>"Brandpuntlaan Zuid 14"</f>
        <v>Brandpuntlaan Zuid 14</v>
      </c>
      <c r="G171" s="12" t="str">
        <f>"NL-2665 NZ"</f>
        <v>NL-2665 NZ</v>
      </c>
      <c r="H171" s="12" t="str">
        <f>"Bleiswijk"</f>
        <v>Bleiswijk</v>
      </c>
      <c r="I171" s="12" t="str">
        <f>"KT001216"</f>
        <v>KT001216</v>
      </c>
      <c r="J171" s="12" t="str">
        <f>"Mediq Suisse AG"</f>
        <v>Mediq Suisse AG</v>
      </c>
      <c r="K171" s="12" t="str">
        <f>"Rosengartenstrasse 25"</f>
        <v>Rosengartenstrasse 25</v>
      </c>
      <c r="L171" s="12" t="str">
        <f>"CH-8608"</f>
        <v>CH-8608</v>
      </c>
      <c r="M171" s="12" t="str">
        <f>"Bubikon"</f>
        <v>Bubikon</v>
      </c>
      <c r="N171" s="12" t="str">
        <f>"CHRN-AR-20001658"</f>
        <v>CHRN-AR-20001658</v>
      </c>
      <c r="O171" s="12" t="str">
        <f>"KT001216"</f>
        <v>KT001216</v>
      </c>
      <c r="P171" s="13" t="str">
        <f>"Mediq Suisse AG"</f>
        <v>Mediq Suisse AG</v>
      </c>
    </row>
    <row r="172" spans="1:16" x14ac:dyDescent="0.15">
      <c r="A172" s="11" t="str">
        <f>"4132331"</f>
        <v>4132331</v>
      </c>
      <c r="B172" s="12" t="str">
        <f>"Klinifix Crêpe|elast. Mittelzugbinde|4mx7.5cm|10x1"</f>
        <v>Klinifix Crêpe|elast. Mittelzugbinde|4mx7.5cm|10x1</v>
      </c>
      <c r="C172" s="12" t="str">
        <f>"MDR Risikoklasse I"</f>
        <v>MDR Risikoklasse I</v>
      </c>
      <c r="D172" s="12" t="str">
        <f>"KT000099"</f>
        <v>KT000099</v>
      </c>
      <c r="E172" s="12" t="str">
        <f>"MEDIQ MEDECO"</f>
        <v>MEDIQ MEDECO</v>
      </c>
      <c r="F172" s="12" t="str">
        <f>"Brandpuntlaan Zuid 14"</f>
        <v>Brandpuntlaan Zuid 14</v>
      </c>
      <c r="G172" s="12" t="str">
        <f>"NL-2665 NZ"</f>
        <v>NL-2665 NZ</v>
      </c>
      <c r="H172" s="12" t="str">
        <f>"Bleiswijk"</f>
        <v>Bleiswijk</v>
      </c>
      <c r="I172" s="12" t="str">
        <f>"KT001216"</f>
        <v>KT001216</v>
      </c>
      <c r="J172" s="12" t="str">
        <f>"Mediq Suisse AG"</f>
        <v>Mediq Suisse AG</v>
      </c>
      <c r="K172" s="12" t="str">
        <f>"Rosengartenstrasse 25"</f>
        <v>Rosengartenstrasse 25</v>
      </c>
      <c r="L172" s="12" t="str">
        <f>"CH-8608"</f>
        <v>CH-8608</v>
      </c>
      <c r="M172" s="12" t="str">
        <f>"Bubikon"</f>
        <v>Bubikon</v>
      </c>
      <c r="N172" s="12" t="str">
        <f>"CHRN-AR-20001658"</f>
        <v>CHRN-AR-20001658</v>
      </c>
      <c r="O172" s="12" t="str">
        <f>"KT001216"</f>
        <v>KT001216</v>
      </c>
      <c r="P172" s="13" t="str">
        <f>"Mediq Suisse AG"</f>
        <v>Mediq Suisse AG</v>
      </c>
    </row>
    <row r="173" spans="1:16" x14ac:dyDescent="0.15">
      <c r="A173" s="11" t="str">
        <f>"4132332"</f>
        <v>4132332</v>
      </c>
      <c r="B173" s="12" t="str">
        <f>"Klinifix Crêpe|elast. Mittelzugbinde|4mx10cm|10x1"</f>
        <v>Klinifix Crêpe|elast. Mittelzugbinde|4mx10cm|10x1</v>
      </c>
      <c r="C173" s="12" t="str">
        <f>"MDR Risikoklasse I"</f>
        <v>MDR Risikoklasse I</v>
      </c>
      <c r="D173" s="12" t="str">
        <f>"KT000099"</f>
        <v>KT000099</v>
      </c>
      <c r="E173" s="12" t="str">
        <f>"MEDIQ MEDECO"</f>
        <v>MEDIQ MEDECO</v>
      </c>
      <c r="F173" s="12" t="str">
        <f>"Brandpuntlaan Zuid 14"</f>
        <v>Brandpuntlaan Zuid 14</v>
      </c>
      <c r="G173" s="12" t="str">
        <f>"NL-2665 NZ"</f>
        <v>NL-2665 NZ</v>
      </c>
      <c r="H173" s="12" t="str">
        <f>"Bleiswijk"</f>
        <v>Bleiswijk</v>
      </c>
      <c r="I173" s="12" t="str">
        <f>"KT001216"</f>
        <v>KT001216</v>
      </c>
      <c r="J173" s="12" t="str">
        <f>"Mediq Suisse AG"</f>
        <v>Mediq Suisse AG</v>
      </c>
      <c r="K173" s="12" t="str">
        <f>"Rosengartenstrasse 25"</f>
        <v>Rosengartenstrasse 25</v>
      </c>
      <c r="L173" s="12" t="str">
        <f>"CH-8608"</f>
        <v>CH-8608</v>
      </c>
      <c r="M173" s="12" t="str">
        <f>"Bubikon"</f>
        <v>Bubikon</v>
      </c>
      <c r="N173" s="12" t="str">
        <f>"CHRN-AR-20001658"</f>
        <v>CHRN-AR-20001658</v>
      </c>
      <c r="O173" s="12" t="str">
        <f>"KT001216"</f>
        <v>KT001216</v>
      </c>
      <c r="P173" s="13" t="str">
        <f>"Mediq Suisse AG"</f>
        <v>Mediq Suisse AG</v>
      </c>
    </row>
    <row r="174" spans="1:16" x14ac:dyDescent="0.15">
      <c r="A174" s="11" t="str">
        <f>"4132378"</f>
        <v>4132378</v>
      </c>
      <c r="B174" s="12" t="str">
        <f>"Klinifix Cohesive|kohäsive Gazebinde|4mx4cm|5x1"</f>
        <v>Klinifix Cohesive|kohäsive Gazebinde|4mx4cm|5x1</v>
      </c>
      <c r="C174" s="12" t="str">
        <f>"MDR Risikoklasse I"</f>
        <v>MDR Risikoklasse I</v>
      </c>
      <c r="D174" s="12" t="str">
        <f>"KT000099"</f>
        <v>KT000099</v>
      </c>
      <c r="E174" s="12" t="str">
        <f>"MEDIQ MEDECO"</f>
        <v>MEDIQ MEDECO</v>
      </c>
      <c r="F174" s="12" t="str">
        <f>"Brandpuntlaan Zuid 14"</f>
        <v>Brandpuntlaan Zuid 14</v>
      </c>
      <c r="G174" s="12" t="str">
        <f>"NL-2665 NZ"</f>
        <v>NL-2665 NZ</v>
      </c>
      <c r="H174" s="12" t="str">
        <f>"Bleiswijk"</f>
        <v>Bleiswijk</v>
      </c>
      <c r="I174" s="12" t="str">
        <f>"KT001216"</f>
        <v>KT001216</v>
      </c>
      <c r="J174" s="12" t="str">
        <f>"Mediq Suisse AG"</f>
        <v>Mediq Suisse AG</v>
      </c>
      <c r="K174" s="12" t="str">
        <f>"Rosengartenstrasse 25"</f>
        <v>Rosengartenstrasse 25</v>
      </c>
      <c r="L174" s="12" t="str">
        <f>"CH-8608"</f>
        <v>CH-8608</v>
      </c>
      <c r="M174" s="12" t="str">
        <f>"Bubikon"</f>
        <v>Bubikon</v>
      </c>
      <c r="N174" s="12" t="str">
        <f>"CHRN-AR-20001658"</f>
        <v>CHRN-AR-20001658</v>
      </c>
      <c r="O174" s="12" t="str">
        <f>"KT001216"</f>
        <v>KT001216</v>
      </c>
      <c r="P174" s="13" t="str">
        <f>"Mediq Suisse AG"</f>
        <v>Mediq Suisse AG</v>
      </c>
    </row>
    <row r="175" spans="1:16" x14ac:dyDescent="0.15">
      <c r="A175" s="11" t="str">
        <f>"4132379"</f>
        <v>4132379</v>
      </c>
      <c r="B175" s="12" t="str">
        <f>"Klinifix Cohesive|kohäsive Gazebinde|4mx6cm|5x1"</f>
        <v>Klinifix Cohesive|kohäsive Gazebinde|4mx6cm|5x1</v>
      </c>
      <c r="C175" s="12" t="str">
        <f>"MDR Risikoklasse I"</f>
        <v>MDR Risikoklasse I</v>
      </c>
      <c r="D175" s="12" t="str">
        <f>"KT000099"</f>
        <v>KT000099</v>
      </c>
      <c r="E175" s="12" t="str">
        <f>"MEDIQ MEDECO"</f>
        <v>MEDIQ MEDECO</v>
      </c>
      <c r="F175" s="12" t="str">
        <f>"Brandpuntlaan Zuid 14"</f>
        <v>Brandpuntlaan Zuid 14</v>
      </c>
      <c r="G175" s="12" t="str">
        <f>"NL-2665 NZ"</f>
        <v>NL-2665 NZ</v>
      </c>
      <c r="H175" s="12" t="str">
        <f>"Bleiswijk"</f>
        <v>Bleiswijk</v>
      </c>
      <c r="I175" s="12" t="str">
        <f>"KT001216"</f>
        <v>KT001216</v>
      </c>
      <c r="J175" s="12" t="str">
        <f>"Mediq Suisse AG"</f>
        <v>Mediq Suisse AG</v>
      </c>
      <c r="K175" s="12" t="str">
        <f>"Rosengartenstrasse 25"</f>
        <v>Rosengartenstrasse 25</v>
      </c>
      <c r="L175" s="12" t="str">
        <f>"CH-8608"</f>
        <v>CH-8608</v>
      </c>
      <c r="M175" s="12" t="str">
        <f>"Bubikon"</f>
        <v>Bubikon</v>
      </c>
      <c r="N175" s="12" t="str">
        <f>"CHRN-AR-20001658"</f>
        <v>CHRN-AR-20001658</v>
      </c>
      <c r="O175" s="12" t="str">
        <f>"KT001216"</f>
        <v>KT001216</v>
      </c>
      <c r="P175" s="13" t="str">
        <f>"Mediq Suisse AG"</f>
        <v>Mediq Suisse AG</v>
      </c>
    </row>
    <row r="176" spans="1:16" x14ac:dyDescent="0.15">
      <c r="A176" s="11" t="str">
        <f>"4132380"</f>
        <v>4132380</v>
      </c>
      <c r="B176" s="12" t="str">
        <f>"Klinifix Cohesive|kohäsive Gazebinde|4mx8cm|5x1"</f>
        <v>Klinifix Cohesive|kohäsive Gazebinde|4mx8cm|5x1</v>
      </c>
      <c r="C176" s="12" t="str">
        <f>"MDR Risikoklasse I"</f>
        <v>MDR Risikoklasse I</v>
      </c>
      <c r="D176" s="12" t="str">
        <f>"KT000099"</f>
        <v>KT000099</v>
      </c>
      <c r="E176" s="12" t="str">
        <f>"MEDIQ MEDECO"</f>
        <v>MEDIQ MEDECO</v>
      </c>
      <c r="F176" s="12" t="str">
        <f>"Brandpuntlaan Zuid 14"</f>
        <v>Brandpuntlaan Zuid 14</v>
      </c>
      <c r="G176" s="12" t="str">
        <f>"NL-2665 NZ"</f>
        <v>NL-2665 NZ</v>
      </c>
      <c r="H176" s="12" t="str">
        <f>"Bleiswijk"</f>
        <v>Bleiswijk</v>
      </c>
      <c r="I176" s="12" t="str">
        <f>"KT001216"</f>
        <v>KT001216</v>
      </c>
      <c r="J176" s="12" t="str">
        <f>"Mediq Suisse AG"</f>
        <v>Mediq Suisse AG</v>
      </c>
      <c r="K176" s="12" t="str">
        <f>"Rosengartenstrasse 25"</f>
        <v>Rosengartenstrasse 25</v>
      </c>
      <c r="L176" s="12" t="str">
        <f>"CH-8608"</f>
        <v>CH-8608</v>
      </c>
      <c r="M176" s="12" t="str">
        <f>"Bubikon"</f>
        <v>Bubikon</v>
      </c>
      <c r="N176" s="12" t="str">
        <f>"CHRN-AR-20001658"</f>
        <v>CHRN-AR-20001658</v>
      </c>
      <c r="O176" s="12" t="str">
        <f>"KT001216"</f>
        <v>KT001216</v>
      </c>
      <c r="P176" s="13" t="str">
        <f>"Mediq Suisse AG"</f>
        <v>Mediq Suisse AG</v>
      </c>
    </row>
    <row r="177" spans="1:16" x14ac:dyDescent="0.15">
      <c r="A177" s="11" t="str">
        <f>"4132381"</f>
        <v>4132381</v>
      </c>
      <c r="B177" s="12" t="str">
        <f>"Klinifix Cohesive|kohäsive Gazebinde|4mx10cm|5x1"</f>
        <v>Klinifix Cohesive|kohäsive Gazebinde|4mx10cm|5x1</v>
      </c>
      <c r="C177" s="12" t="str">
        <f>"MDR Risikoklasse I"</f>
        <v>MDR Risikoklasse I</v>
      </c>
      <c r="D177" s="12" t="str">
        <f>"KT000099"</f>
        <v>KT000099</v>
      </c>
      <c r="E177" s="12" t="str">
        <f>"MEDIQ MEDECO"</f>
        <v>MEDIQ MEDECO</v>
      </c>
      <c r="F177" s="12" t="str">
        <f>"Brandpuntlaan Zuid 14"</f>
        <v>Brandpuntlaan Zuid 14</v>
      </c>
      <c r="G177" s="12" t="str">
        <f>"NL-2665 NZ"</f>
        <v>NL-2665 NZ</v>
      </c>
      <c r="H177" s="12" t="str">
        <f>"Bleiswijk"</f>
        <v>Bleiswijk</v>
      </c>
      <c r="I177" s="12" t="str">
        <f>"KT001216"</f>
        <v>KT001216</v>
      </c>
      <c r="J177" s="12" t="str">
        <f>"Mediq Suisse AG"</f>
        <v>Mediq Suisse AG</v>
      </c>
      <c r="K177" s="12" t="str">
        <f>"Rosengartenstrasse 25"</f>
        <v>Rosengartenstrasse 25</v>
      </c>
      <c r="L177" s="12" t="str">
        <f>"CH-8608"</f>
        <v>CH-8608</v>
      </c>
      <c r="M177" s="12" t="str">
        <f>"Bubikon"</f>
        <v>Bubikon</v>
      </c>
      <c r="N177" s="12" t="str">
        <f>"CHRN-AR-20001658"</f>
        <v>CHRN-AR-20001658</v>
      </c>
      <c r="O177" s="12" t="str">
        <f>"KT001216"</f>
        <v>KT001216</v>
      </c>
      <c r="P177" s="13" t="str">
        <f>"Mediq Suisse AG"</f>
        <v>Mediq Suisse AG</v>
      </c>
    </row>
    <row r="178" spans="1:16" x14ac:dyDescent="0.15">
      <c r="A178" s="11" t="str">
        <f>"4132441"</f>
        <v>4132441</v>
      </c>
      <c r="B178" s="12" t="str">
        <f>"Klinigrip Ideal|5mx6cm|10x1"</f>
        <v>Klinigrip Ideal|5mx6cm|10x1</v>
      </c>
      <c r="C178" s="12" t="str">
        <f>"MDR Risikoklasse I"</f>
        <v>MDR Risikoklasse I</v>
      </c>
      <c r="D178" s="12" t="str">
        <f>"KT000099"</f>
        <v>KT000099</v>
      </c>
      <c r="E178" s="12" t="str">
        <f>"MEDIQ MEDECO"</f>
        <v>MEDIQ MEDECO</v>
      </c>
      <c r="F178" s="12" t="str">
        <f>"Brandpuntlaan Zuid 14"</f>
        <v>Brandpuntlaan Zuid 14</v>
      </c>
      <c r="G178" s="12" t="str">
        <f>"NL-2665 NZ"</f>
        <v>NL-2665 NZ</v>
      </c>
      <c r="H178" s="12" t="str">
        <f>"Bleiswijk"</f>
        <v>Bleiswijk</v>
      </c>
      <c r="I178" s="12" t="str">
        <f>"KT001216"</f>
        <v>KT001216</v>
      </c>
      <c r="J178" s="12" t="str">
        <f>"Mediq Suisse AG"</f>
        <v>Mediq Suisse AG</v>
      </c>
      <c r="K178" s="12" t="str">
        <f>"Rosengartenstrasse 25"</f>
        <v>Rosengartenstrasse 25</v>
      </c>
      <c r="L178" s="12" t="str">
        <f>"CH-8608"</f>
        <v>CH-8608</v>
      </c>
      <c r="M178" s="12" t="str">
        <f>"Bubikon"</f>
        <v>Bubikon</v>
      </c>
      <c r="N178" s="12" t="str">
        <f>"CHRN-AR-20001658"</f>
        <v>CHRN-AR-20001658</v>
      </c>
      <c r="O178" s="12" t="str">
        <f>"KT001216"</f>
        <v>KT001216</v>
      </c>
      <c r="P178" s="13" t="str">
        <f>"Mediq Suisse AG"</f>
        <v>Mediq Suisse AG</v>
      </c>
    </row>
    <row r="179" spans="1:16" x14ac:dyDescent="0.15">
      <c r="A179" s="11" t="str">
        <f>"4132442"</f>
        <v>4132442</v>
      </c>
      <c r="B179" s="12" t="str">
        <f>"Klinigrip Ideal|5mx8cm|10x1"</f>
        <v>Klinigrip Ideal|5mx8cm|10x1</v>
      </c>
      <c r="C179" s="12" t="str">
        <f>"MDR Risikoklasse I"</f>
        <v>MDR Risikoklasse I</v>
      </c>
      <c r="D179" s="12" t="str">
        <f>"KT000099"</f>
        <v>KT000099</v>
      </c>
      <c r="E179" s="12" t="str">
        <f>"MEDIQ MEDECO"</f>
        <v>MEDIQ MEDECO</v>
      </c>
      <c r="F179" s="12" t="str">
        <f>"Brandpuntlaan Zuid 14"</f>
        <v>Brandpuntlaan Zuid 14</v>
      </c>
      <c r="G179" s="12" t="str">
        <f>"NL-2665 NZ"</f>
        <v>NL-2665 NZ</v>
      </c>
      <c r="H179" s="12" t="str">
        <f>"Bleiswijk"</f>
        <v>Bleiswijk</v>
      </c>
      <c r="I179" s="12" t="str">
        <f>"KT001216"</f>
        <v>KT001216</v>
      </c>
      <c r="J179" s="12" t="str">
        <f>"Mediq Suisse AG"</f>
        <v>Mediq Suisse AG</v>
      </c>
      <c r="K179" s="12" t="str">
        <f>"Rosengartenstrasse 25"</f>
        <v>Rosengartenstrasse 25</v>
      </c>
      <c r="L179" s="12" t="str">
        <f>"CH-8608"</f>
        <v>CH-8608</v>
      </c>
      <c r="M179" s="12" t="str">
        <f>"Bubikon"</f>
        <v>Bubikon</v>
      </c>
      <c r="N179" s="12" t="str">
        <f>"CHRN-AR-20001658"</f>
        <v>CHRN-AR-20001658</v>
      </c>
      <c r="O179" s="12" t="str">
        <f>"KT001216"</f>
        <v>KT001216</v>
      </c>
      <c r="P179" s="13" t="str">
        <f>"Mediq Suisse AG"</f>
        <v>Mediq Suisse AG</v>
      </c>
    </row>
    <row r="180" spans="1:16" x14ac:dyDescent="0.15">
      <c r="A180" s="11" t="str">
        <f>"4132628"</f>
        <v>4132628</v>
      </c>
      <c r="B180" s="12" t="str">
        <f>"Klinidur Textelast Kompression Kurzzugbinde|5mx8cm"</f>
        <v>Klinidur Textelast Kompression Kurzzugbinde|5mx8cm</v>
      </c>
      <c r="C180" s="12" t="str">
        <f>"MDR Risikoklasse I"</f>
        <v>MDR Risikoklasse I</v>
      </c>
      <c r="D180" s="12" t="str">
        <f>"KT000099"</f>
        <v>KT000099</v>
      </c>
      <c r="E180" s="12" t="str">
        <f>"MEDIQ MEDECO"</f>
        <v>MEDIQ MEDECO</v>
      </c>
      <c r="F180" s="12" t="str">
        <f>"Brandpuntlaan Zuid 14"</f>
        <v>Brandpuntlaan Zuid 14</v>
      </c>
      <c r="G180" s="12" t="str">
        <f>"NL-2665 NZ"</f>
        <v>NL-2665 NZ</v>
      </c>
      <c r="H180" s="12" t="str">
        <f>"Bleiswijk"</f>
        <v>Bleiswijk</v>
      </c>
      <c r="I180" s="12" t="str">
        <f>"KT001216"</f>
        <v>KT001216</v>
      </c>
      <c r="J180" s="12" t="str">
        <f>"Mediq Suisse AG"</f>
        <v>Mediq Suisse AG</v>
      </c>
      <c r="K180" s="12" t="str">
        <f>"Rosengartenstrasse 25"</f>
        <v>Rosengartenstrasse 25</v>
      </c>
      <c r="L180" s="12" t="str">
        <f>"CH-8608"</f>
        <v>CH-8608</v>
      </c>
      <c r="M180" s="12" t="str">
        <f>"Bubikon"</f>
        <v>Bubikon</v>
      </c>
      <c r="N180" s="12" t="str">
        <f>"CHRN-AR-20001658"</f>
        <v>CHRN-AR-20001658</v>
      </c>
      <c r="O180" s="12" t="str">
        <f>"KT001216"</f>
        <v>KT001216</v>
      </c>
      <c r="P180" s="13" t="str">
        <f>"Mediq Suisse AG"</f>
        <v>Mediq Suisse AG</v>
      </c>
    </row>
    <row r="181" spans="1:16" x14ac:dyDescent="0.15">
      <c r="A181" s="11" t="str">
        <f>"4132630"</f>
        <v>4132630</v>
      </c>
      <c r="B181" s="12" t="str">
        <f>"Klinidur Textelast Kompression Kurzz.binde|5mx10cm"</f>
        <v>Klinidur Textelast Kompression Kurzz.binde|5mx10cm</v>
      </c>
      <c r="C181" s="12" t="str">
        <f>"MDR Risikoklasse I"</f>
        <v>MDR Risikoklasse I</v>
      </c>
      <c r="D181" s="12" t="str">
        <f>"KT000099"</f>
        <v>KT000099</v>
      </c>
      <c r="E181" s="12" t="str">
        <f>"MEDIQ MEDECO"</f>
        <v>MEDIQ MEDECO</v>
      </c>
      <c r="F181" s="12" t="str">
        <f>"Brandpuntlaan Zuid 14"</f>
        <v>Brandpuntlaan Zuid 14</v>
      </c>
      <c r="G181" s="12" t="str">
        <f>"NL-2665 NZ"</f>
        <v>NL-2665 NZ</v>
      </c>
      <c r="H181" s="12" t="str">
        <f>"Bleiswijk"</f>
        <v>Bleiswijk</v>
      </c>
      <c r="I181" s="12" t="str">
        <f>"KT001216"</f>
        <v>KT001216</v>
      </c>
      <c r="J181" s="12" t="str">
        <f>"Mediq Suisse AG"</f>
        <v>Mediq Suisse AG</v>
      </c>
      <c r="K181" s="12" t="str">
        <f>"Rosengartenstrasse 25"</f>
        <v>Rosengartenstrasse 25</v>
      </c>
      <c r="L181" s="12" t="str">
        <f>"CH-8608"</f>
        <v>CH-8608</v>
      </c>
      <c r="M181" s="12" t="str">
        <f>"Bubikon"</f>
        <v>Bubikon</v>
      </c>
      <c r="N181" s="12" t="str">
        <f>"CHRN-AR-20001658"</f>
        <v>CHRN-AR-20001658</v>
      </c>
      <c r="O181" s="12" t="str">
        <f>"KT001216"</f>
        <v>KT001216</v>
      </c>
      <c r="P181" s="13" t="str">
        <f>"Mediq Suisse AG"</f>
        <v>Mediq Suisse AG</v>
      </c>
    </row>
    <row r="182" spans="1:16" x14ac:dyDescent="0.15">
      <c r="A182" s="11" t="str">
        <f>"4136.4"</f>
        <v>4136.4</v>
      </c>
      <c r="B182" s="12" t="str">
        <f>"Twinco Betteinlage|180x90cm"</f>
        <v>Twinco Betteinlage|180x90cm</v>
      </c>
      <c r="C182" s="12" t="str">
        <f>"MDR Risikoklasse I"</f>
        <v>MDR Risikoklasse I</v>
      </c>
      <c r="D182" s="12" t="str">
        <f>"KT000099"</f>
        <v>KT000099</v>
      </c>
      <c r="E182" s="12" t="str">
        <f>"MEDIQ MEDECO"</f>
        <v>MEDIQ MEDECO</v>
      </c>
      <c r="F182" s="12" t="str">
        <f>"Brandpuntlaan Zuid 14"</f>
        <v>Brandpuntlaan Zuid 14</v>
      </c>
      <c r="G182" s="12" t="str">
        <f>"NL-2665 NZ"</f>
        <v>NL-2665 NZ</v>
      </c>
      <c r="H182" s="12" t="str">
        <f>"Bleiswijk"</f>
        <v>Bleiswijk</v>
      </c>
      <c r="I182" s="12" t="str">
        <f>"KT001216"</f>
        <v>KT001216</v>
      </c>
      <c r="J182" s="12" t="str">
        <f>"Mediq Suisse AG"</f>
        <v>Mediq Suisse AG</v>
      </c>
      <c r="K182" s="12" t="str">
        <f>"Rosengartenstrasse 25"</f>
        <v>Rosengartenstrasse 25</v>
      </c>
      <c r="L182" s="12" t="str">
        <f>"CH-8608"</f>
        <v>CH-8608</v>
      </c>
      <c r="M182" s="12" t="str">
        <f>"Bubikon"</f>
        <v>Bubikon</v>
      </c>
      <c r="N182" s="12" t="str">
        <f>"CHRN-AR-20001658"</f>
        <v>CHRN-AR-20001658</v>
      </c>
      <c r="O182" s="12" t="str">
        <f>"KT001216"</f>
        <v>KT001216</v>
      </c>
      <c r="P182" s="13" t="str">
        <f>"Mediq Suisse AG"</f>
        <v>Mediq Suisse AG</v>
      </c>
    </row>
    <row r="183" spans="1:16" x14ac:dyDescent="0.15">
      <c r="A183" s="11" t="str">
        <f>"4141090"</f>
        <v>4141090</v>
      </c>
      <c r="B183" s="12" t="str">
        <f>"Klinisoft SY|synthet. Polsterwatte|3mx6cm"</f>
        <v>Klinisoft SY|synthet. Polsterwatte|3mx6cm</v>
      </c>
      <c r="C183" s="12" t="str">
        <f>"MDR Risikoklasse I"</f>
        <v>MDR Risikoklasse I</v>
      </c>
      <c r="D183" s="12" t="str">
        <f>"KT000099"</f>
        <v>KT000099</v>
      </c>
      <c r="E183" s="12" t="str">
        <f>"MEDIQ MEDECO"</f>
        <v>MEDIQ MEDECO</v>
      </c>
      <c r="F183" s="12" t="str">
        <f>"Brandpuntlaan Zuid 14"</f>
        <v>Brandpuntlaan Zuid 14</v>
      </c>
      <c r="G183" s="12" t="str">
        <f>"NL-2665 NZ"</f>
        <v>NL-2665 NZ</v>
      </c>
      <c r="H183" s="12" t="str">
        <f>"Bleiswijk"</f>
        <v>Bleiswijk</v>
      </c>
      <c r="I183" s="12" t="str">
        <f>"KT001216"</f>
        <v>KT001216</v>
      </c>
      <c r="J183" s="12" t="str">
        <f>"Mediq Suisse AG"</f>
        <v>Mediq Suisse AG</v>
      </c>
      <c r="K183" s="12" t="str">
        <f>"Rosengartenstrasse 25"</f>
        <v>Rosengartenstrasse 25</v>
      </c>
      <c r="L183" s="12" t="str">
        <f>"CH-8608"</f>
        <v>CH-8608</v>
      </c>
      <c r="M183" s="12" t="str">
        <f>"Bubikon"</f>
        <v>Bubikon</v>
      </c>
      <c r="N183" s="12" t="str">
        <f>"CHRN-AR-20001658"</f>
        <v>CHRN-AR-20001658</v>
      </c>
      <c r="O183" s="12" t="str">
        <f>"KT001216"</f>
        <v>KT001216</v>
      </c>
      <c r="P183" s="13" t="str">
        <f>"Mediq Suisse AG"</f>
        <v>Mediq Suisse AG</v>
      </c>
    </row>
    <row r="184" spans="1:16" x14ac:dyDescent="0.15">
      <c r="A184" s="11" t="str">
        <f>"4141091"</f>
        <v>4141091</v>
      </c>
      <c r="B184" s="12" t="str">
        <f>"Klinisoft SY|synthet. Polsterwatte|3mx10cm|10x1"</f>
        <v>Klinisoft SY|synthet. Polsterwatte|3mx10cm|10x1</v>
      </c>
      <c r="C184" s="12" t="str">
        <f>"MDR Risikoklasse I"</f>
        <v>MDR Risikoklasse I</v>
      </c>
      <c r="D184" s="12" t="str">
        <f>"KT000099"</f>
        <v>KT000099</v>
      </c>
      <c r="E184" s="12" t="str">
        <f>"MEDIQ MEDECO"</f>
        <v>MEDIQ MEDECO</v>
      </c>
      <c r="F184" s="12" t="str">
        <f>"Brandpuntlaan Zuid 14"</f>
        <v>Brandpuntlaan Zuid 14</v>
      </c>
      <c r="G184" s="12" t="str">
        <f>"NL-2665 NZ"</f>
        <v>NL-2665 NZ</v>
      </c>
      <c r="H184" s="12" t="str">
        <f>"Bleiswijk"</f>
        <v>Bleiswijk</v>
      </c>
      <c r="I184" s="12" t="str">
        <f>"KT001216"</f>
        <v>KT001216</v>
      </c>
      <c r="J184" s="12" t="str">
        <f>"Mediq Suisse AG"</f>
        <v>Mediq Suisse AG</v>
      </c>
      <c r="K184" s="12" t="str">
        <f>"Rosengartenstrasse 25"</f>
        <v>Rosengartenstrasse 25</v>
      </c>
      <c r="L184" s="12" t="str">
        <f>"CH-8608"</f>
        <v>CH-8608</v>
      </c>
      <c r="M184" s="12" t="str">
        <f>"Bubikon"</f>
        <v>Bubikon</v>
      </c>
      <c r="N184" s="12" t="str">
        <f>"CHRN-AR-20001658"</f>
        <v>CHRN-AR-20001658</v>
      </c>
      <c r="O184" s="12" t="str">
        <f>"KT001216"</f>
        <v>KT001216</v>
      </c>
      <c r="P184" s="13" t="str">
        <f>"Mediq Suisse AG"</f>
        <v>Mediq Suisse AG</v>
      </c>
    </row>
    <row r="185" spans="1:16" x14ac:dyDescent="0.15">
      <c r="A185" s="11" t="str">
        <f>"4141092"</f>
        <v>4141092</v>
      </c>
      <c r="B185" s="12" t="str">
        <f>"Klinisoft SY|synthet. Polsterwatte|3mx15cm|10x1"</f>
        <v>Klinisoft SY|synthet. Polsterwatte|3mx15cm|10x1</v>
      </c>
      <c r="C185" s="12" t="str">
        <f>"MDR Risikoklasse I"</f>
        <v>MDR Risikoklasse I</v>
      </c>
      <c r="D185" s="12" t="str">
        <f>"KT000099"</f>
        <v>KT000099</v>
      </c>
      <c r="E185" s="12" t="str">
        <f>"MEDIQ MEDECO"</f>
        <v>MEDIQ MEDECO</v>
      </c>
      <c r="F185" s="12" t="str">
        <f>"Brandpuntlaan Zuid 14"</f>
        <v>Brandpuntlaan Zuid 14</v>
      </c>
      <c r="G185" s="12" t="str">
        <f>"NL-2665 NZ"</f>
        <v>NL-2665 NZ</v>
      </c>
      <c r="H185" s="12" t="str">
        <f>"Bleiswijk"</f>
        <v>Bleiswijk</v>
      </c>
      <c r="I185" s="12" t="str">
        <f>"KT001216"</f>
        <v>KT001216</v>
      </c>
      <c r="J185" s="12" t="str">
        <f>"Mediq Suisse AG"</f>
        <v>Mediq Suisse AG</v>
      </c>
      <c r="K185" s="12" t="str">
        <f>"Rosengartenstrasse 25"</f>
        <v>Rosengartenstrasse 25</v>
      </c>
      <c r="L185" s="12" t="str">
        <f>"CH-8608"</f>
        <v>CH-8608</v>
      </c>
      <c r="M185" s="12" t="str">
        <f>"Bubikon"</f>
        <v>Bubikon</v>
      </c>
      <c r="N185" s="12" t="str">
        <f>"CHRN-AR-20001658"</f>
        <v>CHRN-AR-20001658</v>
      </c>
      <c r="O185" s="12" t="str">
        <f>"KT001216"</f>
        <v>KT001216</v>
      </c>
      <c r="P185" s="13" t="str">
        <f>"Mediq Suisse AG"</f>
        <v>Mediq Suisse AG</v>
      </c>
    </row>
    <row r="186" spans="1:16" x14ac:dyDescent="0.15">
      <c r="A186" s="11" t="str">
        <f>"4170000"</f>
        <v>4170000</v>
      </c>
      <c r="B186" s="12" t="str">
        <f>"Exsupad|absorb. Wundauflage|steril|9x12cm|50x1"</f>
        <v>Exsupad|absorb. Wundauflage|steril|9x12cm|50x1</v>
      </c>
      <c r="C186" s="12" t="str">
        <f>"MDR Risikoklasse Is"</f>
        <v>MDR Risikoklasse Is</v>
      </c>
      <c r="D186" s="12" t="str">
        <f>"KT000099"</f>
        <v>KT000099</v>
      </c>
      <c r="E186" s="12" t="str">
        <f>"MEDIQ MEDECO"</f>
        <v>MEDIQ MEDECO</v>
      </c>
      <c r="F186" s="12" t="str">
        <f>"Brandpuntlaan Zuid 14"</f>
        <v>Brandpuntlaan Zuid 14</v>
      </c>
      <c r="G186" s="12" t="str">
        <f>"NL-2665 NZ"</f>
        <v>NL-2665 NZ</v>
      </c>
      <c r="H186" s="12" t="str">
        <f>"Bleiswijk"</f>
        <v>Bleiswijk</v>
      </c>
      <c r="I186" s="12" t="str">
        <f>"KT001216"</f>
        <v>KT001216</v>
      </c>
      <c r="J186" s="12" t="str">
        <f>"Mediq Suisse AG"</f>
        <v>Mediq Suisse AG</v>
      </c>
      <c r="K186" s="12" t="str">
        <f>"Rosengartenstrasse 25"</f>
        <v>Rosengartenstrasse 25</v>
      </c>
      <c r="L186" s="12" t="str">
        <f>"CH-8608"</f>
        <v>CH-8608</v>
      </c>
      <c r="M186" s="12" t="str">
        <f>"Bubikon"</f>
        <v>Bubikon</v>
      </c>
      <c r="N186" s="12" t="str">
        <f>"CHRN-AR-20001658"</f>
        <v>CHRN-AR-20001658</v>
      </c>
      <c r="O186" s="12" t="str">
        <f>"KT001216"</f>
        <v>KT001216</v>
      </c>
      <c r="P186" s="13" t="str">
        <f>"Mediq Suisse AG"</f>
        <v>Mediq Suisse AG</v>
      </c>
    </row>
    <row r="187" spans="1:16" x14ac:dyDescent="0.15">
      <c r="A187" s="11" t="str">
        <f>"4170002"</f>
        <v>4170002</v>
      </c>
      <c r="B187" s="12" t="str">
        <f>"Exsupad|absorb. Wundauflage|steril|10x20cm|35x1"</f>
        <v>Exsupad|absorb. Wundauflage|steril|10x20cm|35x1</v>
      </c>
      <c r="C187" s="12" t="str">
        <f>"MDR Risikoklasse Is"</f>
        <v>MDR Risikoklasse Is</v>
      </c>
      <c r="D187" s="12" t="str">
        <f>"KT000099"</f>
        <v>KT000099</v>
      </c>
      <c r="E187" s="12" t="str">
        <f>"MEDIQ MEDECO"</f>
        <v>MEDIQ MEDECO</v>
      </c>
      <c r="F187" s="12" t="str">
        <f>"Brandpuntlaan Zuid 14"</f>
        <v>Brandpuntlaan Zuid 14</v>
      </c>
      <c r="G187" s="12" t="str">
        <f>"NL-2665 NZ"</f>
        <v>NL-2665 NZ</v>
      </c>
      <c r="H187" s="12" t="str">
        <f>"Bleiswijk"</f>
        <v>Bleiswijk</v>
      </c>
      <c r="I187" s="12" t="str">
        <f>"KT001216"</f>
        <v>KT001216</v>
      </c>
      <c r="J187" s="12" t="str">
        <f>"Mediq Suisse AG"</f>
        <v>Mediq Suisse AG</v>
      </c>
      <c r="K187" s="12" t="str">
        <f>"Rosengartenstrasse 25"</f>
        <v>Rosengartenstrasse 25</v>
      </c>
      <c r="L187" s="12" t="str">
        <f>"CH-8608"</f>
        <v>CH-8608</v>
      </c>
      <c r="M187" s="12" t="str">
        <f>"Bubikon"</f>
        <v>Bubikon</v>
      </c>
      <c r="N187" s="12" t="str">
        <f>"CHRN-AR-20001658"</f>
        <v>CHRN-AR-20001658</v>
      </c>
      <c r="O187" s="12" t="str">
        <f>"KT001216"</f>
        <v>KT001216</v>
      </c>
      <c r="P187" s="13" t="str">
        <f>"Mediq Suisse AG"</f>
        <v>Mediq Suisse AG</v>
      </c>
    </row>
    <row r="188" spans="1:16" x14ac:dyDescent="0.15">
      <c r="A188" s="11" t="str">
        <f>"4170003"</f>
        <v>4170003</v>
      </c>
      <c r="B188" s="12" t="str">
        <f>"Exsupad|absorb. Wundauflage|steril|20x20cm|15x1"</f>
        <v>Exsupad|absorb. Wundauflage|steril|20x20cm|15x1</v>
      </c>
      <c r="C188" s="12" t="str">
        <f>"MDR Risikoklasse Is"</f>
        <v>MDR Risikoklasse Is</v>
      </c>
      <c r="D188" s="12" t="str">
        <f>"KT000099"</f>
        <v>KT000099</v>
      </c>
      <c r="E188" s="12" t="str">
        <f>"MEDIQ MEDECO"</f>
        <v>MEDIQ MEDECO</v>
      </c>
      <c r="F188" s="12" t="str">
        <f>"Brandpuntlaan Zuid 14"</f>
        <v>Brandpuntlaan Zuid 14</v>
      </c>
      <c r="G188" s="12" t="str">
        <f>"NL-2665 NZ"</f>
        <v>NL-2665 NZ</v>
      </c>
      <c r="H188" s="12" t="str">
        <f>"Bleiswijk"</f>
        <v>Bleiswijk</v>
      </c>
      <c r="I188" s="12" t="str">
        <f>"KT001216"</f>
        <v>KT001216</v>
      </c>
      <c r="J188" s="12" t="str">
        <f>"Mediq Suisse AG"</f>
        <v>Mediq Suisse AG</v>
      </c>
      <c r="K188" s="12" t="str">
        <f>"Rosengartenstrasse 25"</f>
        <v>Rosengartenstrasse 25</v>
      </c>
      <c r="L188" s="12" t="str">
        <f>"CH-8608"</f>
        <v>CH-8608</v>
      </c>
      <c r="M188" s="12" t="str">
        <f>"Bubikon"</f>
        <v>Bubikon</v>
      </c>
      <c r="N188" s="12" t="str">
        <f>"CHRN-AR-20001658"</f>
        <v>CHRN-AR-20001658</v>
      </c>
      <c r="O188" s="12" t="str">
        <f>"KT001216"</f>
        <v>KT001216</v>
      </c>
      <c r="P188" s="13" t="str">
        <f>"Mediq Suisse AG"</f>
        <v>Mediq Suisse AG</v>
      </c>
    </row>
    <row r="189" spans="1:16" x14ac:dyDescent="0.15">
      <c r="A189" s="11" t="str">
        <f>"4170004"</f>
        <v>4170004</v>
      </c>
      <c r="B189" s="12" t="str">
        <f>"Exsupad|absorb. Wundauflage|steril|20x30cm|10x1"</f>
        <v>Exsupad|absorb. Wundauflage|steril|20x30cm|10x1</v>
      </c>
      <c r="C189" s="12" t="str">
        <f>"MDR Risikoklasse Is"</f>
        <v>MDR Risikoklasse Is</v>
      </c>
      <c r="D189" s="12" t="str">
        <f>"KT000099"</f>
        <v>KT000099</v>
      </c>
      <c r="E189" s="12" t="str">
        <f>"MEDIQ MEDECO"</f>
        <v>MEDIQ MEDECO</v>
      </c>
      <c r="F189" s="12" t="str">
        <f>"Brandpuntlaan Zuid 14"</f>
        <v>Brandpuntlaan Zuid 14</v>
      </c>
      <c r="G189" s="12" t="str">
        <f>"NL-2665 NZ"</f>
        <v>NL-2665 NZ</v>
      </c>
      <c r="H189" s="12" t="str">
        <f>"Bleiswijk"</f>
        <v>Bleiswijk</v>
      </c>
      <c r="I189" s="12" t="str">
        <f>"KT001216"</f>
        <v>KT001216</v>
      </c>
      <c r="J189" s="12" t="str">
        <f>"Mediq Suisse AG"</f>
        <v>Mediq Suisse AG</v>
      </c>
      <c r="K189" s="12" t="str">
        <f>"Rosengartenstrasse 25"</f>
        <v>Rosengartenstrasse 25</v>
      </c>
      <c r="L189" s="12" t="str">
        <f>"CH-8608"</f>
        <v>CH-8608</v>
      </c>
      <c r="M189" s="12" t="str">
        <f>"Bubikon"</f>
        <v>Bubikon</v>
      </c>
      <c r="N189" s="12" t="str">
        <f>"CHRN-AR-20001658"</f>
        <v>CHRN-AR-20001658</v>
      </c>
      <c r="O189" s="12" t="str">
        <f>"KT001216"</f>
        <v>KT001216</v>
      </c>
      <c r="P189" s="13" t="str">
        <f>"Mediq Suisse AG"</f>
        <v>Mediq Suisse AG</v>
      </c>
    </row>
    <row r="190" spans="1:16" x14ac:dyDescent="0.15">
      <c r="A190" s="11" t="str">
        <f>"4170005"</f>
        <v>4170005</v>
      </c>
      <c r="B190" s="12" t="str">
        <f>"Exsupad|absorb. Wundauflage|steril|20x40cm|6x1"</f>
        <v>Exsupad|absorb. Wundauflage|steril|20x40cm|6x1</v>
      </c>
      <c r="C190" s="12" t="str">
        <f>"MDR Risikoklasse Is"</f>
        <v>MDR Risikoklasse Is</v>
      </c>
      <c r="D190" s="12" t="str">
        <f>"KT000099"</f>
        <v>KT000099</v>
      </c>
      <c r="E190" s="12" t="str">
        <f>"MEDIQ MEDECO"</f>
        <v>MEDIQ MEDECO</v>
      </c>
      <c r="F190" s="12" t="str">
        <f>"Brandpuntlaan Zuid 14"</f>
        <v>Brandpuntlaan Zuid 14</v>
      </c>
      <c r="G190" s="12" t="str">
        <f>"NL-2665 NZ"</f>
        <v>NL-2665 NZ</v>
      </c>
      <c r="H190" s="12" t="str">
        <f>"Bleiswijk"</f>
        <v>Bleiswijk</v>
      </c>
      <c r="I190" s="12" t="str">
        <f>"KT001216"</f>
        <v>KT001216</v>
      </c>
      <c r="J190" s="12" t="str">
        <f>"Mediq Suisse AG"</f>
        <v>Mediq Suisse AG</v>
      </c>
      <c r="K190" s="12" t="str">
        <f>"Rosengartenstrasse 25"</f>
        <v>Rosengartenstrasse 25</v>
      </c>
      <c r="L190" s="12" t="str">
        <f>"CH-8608"</f>
        <v>CH-8608</v>
      </c>
      <c r="M190" s="12" t="str">
        <f>"Bubikon"</f>
        <v>Bubikon</v>
      </c>
      <c r="N190" s="12" t="str">
        <f>"CHRN-AR-20001658"</f>
        <v>CHRN-AR-20001658</v>
      </c>
      <c r="O190" s="12" t="str">
        <f>"KT001216"</f>
        <v>KT001216</v>
      </c>
      <c r="P190" s="13" t="str">
        <f>"Mediq Suisse AG"</f>
        <v>Mediq Suisse AG</v>
      </c>
    </row>
    <row r="191" spans="1:16" x14ac:dyDescent="0.15">
      <c r="A191" s="11" t="str">
        <f>"4170072"</f>
        <v>4170072</v>
      </c>
      <c r="B191" s="12" t="str">
        <f>"Exsupad|absorb. Wundauflage|unsteril|10x20cm|50"</f>
        <v>Exsupad|absorb. Wundauflage|unsteril|10x20cm|50</v>
      </c>
      <c r="C191" s="12" t="str">
        <f>"MDR Risikoklasse I"</f>
        <v>MDR Risikoklasse I</v>
      </c>
      <c r="D191" s="12" t="str">
        <f>"KT000099"</f>
        <v>KT000099</v>
      </c>
      <c r="E191" s="12" t="str">
        <f>"MEDIQ MEDECO"</f>
        <v>MEDIQ MEDECO</v>
      </c>
      <c r="F191" s="12" t="str">
        <f>"Brandpuntlaan Zuid 14"</f>
        <v>Brandpuntlaan Zuid 14</v>
      </c>
      <c r="G191" s="12" t="str">
        <f>"NL-2665 NZ"</f>
        <v>NL-2665 NZ</v>
      </c>
      <c r="H191" s="12" t="str">
        <f>"Bleiswijk"</f>
        <v>Bleiswijk</v>
      </c>
      <c r="I191" s="12" t="str">
        <f>"KT001216"</f>
        <v>KT001216</v>
      </c>
      <c r="J191" s="12" t="str">
        <f>"Mediq Suisse AG"</f>
        <v>Mediq Suisse AG</v>
      </c>
      <c r="K191" s="12" t="str">
        <f>"Rosengartenstrasse 25"</f>
        <v>Rosengartenstrasse 25</v>
      </c>
      <c r="L191" s="12" t="str">
        <f>"CH-8608"</f>
        <v>CH-8608</v>
      </c>
      <c r="M191" s="12" t="str">
        <f>"Bubikon"</f>
        <v>Bubikon</v>
      </c>
      <c r="N191" s="12" t="str">
        <f>"CHRN-AR-20001658"</f>
        <v>CHRN-AR-20001658</v>
      </c>
      <c r="O191" s="12" t="str">
        <f>"KT001216"</f>
        <v>KT001216</v>
      </c>
      <c r="P191" s="13" t="str">
        <f>"Mediq Suisse AG"</f>
        <v>Mediq Suisse AG</v>
      </c>
    </row>
    <row r="192" spans="1:16" x14ac:dyDescent="0.15">
      <c r="A192" s="11" t="str">
        <f>"4170073"</f>
        <v>4170073</v>
      </c>
      <c r="B192" s="12" t="str">
        <f>"Exsupad|absorb. Wundauflage|unsteril|20x20cm|50"</f>
        <v>Exsupad|absorb. Wundauflage|unsteril|20x20cm|50</v>
      </c>
      <c r="C192" s="12" t="str">
        <f>"MDR Risikoklasse I"</f>
        <v>MDR Risikoklasse I</v>
      </c>
      <c r="D192" s="12" t="str">
        <f>"KT000099"</f>
        <v>KT000099</v>
      </c>
      <c r="E192" s="12" t="str">
        <f>"MEDIQ MEDECO"</f>
        <v>MEDIQ MEDECO</v>
      </c>
      <c r="F192" s="12" t="str">
        <f>"Brandpuntlaan Zuid 14"</f>
        <v>Brandpuntlaan Zuid 14</v>
      </c>
      <c r="G192" s="12" t="str">
        <f>"NL-2665 NZ"</f>
        <v>NL-2665 NZ</v>
      </c>
      <c r="H192" s="12" t="str">
        <f>"Bleiswijk"</f>
        <v>Bleiswijk</v>
      </c>
      <c r="I192" s="12" t="str">
        <f>"KT001216"</f>
        <v>KT001216</v>
      </c>
      <c r="J192" s="12" t="str">
        <f>"Mediq Suisse AG"</f>
        <v>Mediq Suisse AG</v>
      </c>
      <c r="K192" s="12" t="str">
        <f>"Rosengartenstrasse 25"</f>
        <v>Rosengartenstrasse 25</v>
      </c>
      <c r="L192" s="12" t="str">
        <f>"CH-8608"</f>
        <v>CH-8608</v>
      </c>
      <c r="M192" s="12" t="str">
        <f>"Bubikon"</f>
        <v>Bubikon</v>
      </c>
      <c r="N192" s="12" t="str">
        <f>"CHRN-AR-20001658"</f>
        <v>CHRN-AR-20001658</v>
      </c>
      <c r="O192" s="12" t="str">
        <f>"KT001216"</f>
        <v>KT001216</v>
      </c>
      <c r="P192" s="13" t="str">
        <f>"Mediq Suisse AG"</f>
        <v>Mediq Suisse AG</v>
      </c>
    </row>
    <row r="193" spans="1:16" x14ac:dyDescent="0.15">
      <c r="A193" s="11" t="str">
        <f>"4170097"</f>
        <v>4170097</v>
      </c>
      <c r="B193" s="12" t="str">
        <f>"Klinitulle|Salbenkompresse|steril|5x5cm|10x1"</f>
        <v>Klinitulle|Salbenkompresse|steril|5x5cm|10x1</v>
      </c>
      <c r="C193" s="12" t="str">
        <f>"MDR Risikoklasse IIa"</f>
        <v>MDR Risikoklasse IIa</v>
      </c>
      <c r="D193" s="12" t="str">
        <f>"KT000099"</f>
        <v>KT000099</v>
      </c>
      <c r="E193" s="12" t="str">
        <f>"MEDIQ MEDECO"</f>
        <v>MEDIQ MEDECO</v>
      </c>
      <c r="F193" s="12" t="str">
        <f>"Brandpuntlaan Zuid 14"</f>
        <v>Brandpuntlaan Zuid 14</v>
      </c>
      <c r="G193" s="12" t="str">
        <f>"NL-2665 NZ"</f>
        <v>NL-2665 NZ</v>
      </c>
      <c r="H193" s="12" t="str">
        <f>"Bleiswijk"</f>
        <v>Bleiswijk</v>
      </c>
      <c r="I193" s="12" t="str">
        <f>"KT001216"</f>
        <v>KT001216</v>
      </c>
      <c r="J193" s="12" t="str">
        <f>"Mediq Suisse AG"</f>
        <v>Mediq Suisse AG</v>
      </c>
      <c r="K193" s="12" t="str">
        <f>"Rosengartenstrasse 25"</f>
        <v>Rosengartenstrasse 25</v>
      </c>
      <c r="L193" s="12" t="str">
        <f>"CH-8608"</f>
        <v>CH-8608</v>
      </c>
      <c r="M193" s="12" t="str">
        <f>"Bubikon"</f>
        <v>Bubikon</v>
      </c>
      <c r="N193" s="12" t="str">
        <f>"CHRN-AR-20001658"</f>
        <v>CHRN-AR-20001658</v>
      </c>
      <c r="O193" s="12" t="str">
        <f>"KT001216"</f>
        <v>KT001216</v>
      </c>
      <c r="P193" s="13" t="str">
        <f>"Mediq Suisse AG"</f>
        <v>Mediq Suisse AG</v>
      </c>
    </row>
    <row r="194" spans="1:16" x14ac:dyDescent="0.15">
      <c r="A194" s="11" t="str">
        <f>"4170098"</f>
        <v>4170098</v>
      </c>
      <c r="B194" s="12" t="str">
        <f>"Klinitulle|Salbenkompresse|steril|10x10cm|10x1"</f>
        <v>Klinitulle|Salbenkompresse|steril|10x10cm|10x1</v>
      </c>
      <c r="C194" s="12" t="str">
        <f>"MDR Risikoklasse IIa"</f>
        <v>MDR Risikoklasse IIa</v>
      </c>
      <c r="D194" s="12" t="str">
        <f>"KT000099"</f>
        <v>KT000099</v>
      </c>
      <c r="E194" s="12" t="str">
        <f>"MEDIQ MEDECO"</f>
        <v>MEDIQ MEDECO</v>
      </c>
      <c r="F194" s="12" t="str">
        <f>"Brandpuntlaan Zuid 14"</f>
        <v>Brandpuntlaan Zuid 14</v>
      </c>
      <c r="G194" s="12" t="str">
        <f>"NL-2665 NZ"</f>
        <v>NL-2665 NZ</v>
      </c>
      <c r="H194" s="12" t="str">
        <f>"Bleiswijk"</f>
        <v>Bleiswijk</v>
      </c>
      <c r="I194" s="12" t="str">
        <f>"KT001216"</f>
        <v>KT001216</v>
      </c>
      <c r="J194" s="12" t="str">
        <f>"Mediq Suisse AG"</f>
        <v>Mediq Suisse AG</v>
      </c>
      <c r="K194" s="12" t="str">
        <f>"Rosengartenstrasse 25"</f>
        <v>Rosengartenstrasse 25</v>
      </c>
      <c r="L194" s="12" t="str">
        <f>"CH-8608"</f>
        <v>CH-8608</v>
      </c>
      <c r="M194" s="12" t="str">
        <f>"Bubikon"</f>
        <v>Bubikon</v>
      </c>
      <c r="N194" s="12" t="str">
        <f>"CHRN-AR-20001658"</f>
        <v>CHRN-AR-20001658</v>
      </c>
      <c r="O194" s="12" t="str">
        <f>"KT001216"</f>
        <v>KT001216</v>
      </c>
      <c r="P194" s="13" t="str">
        <f>"Mediq Suisse AG"</f>
        <v>Mediq Suisse AG</v>
      </c>
    </row>
    <row r="195" spans="1:16" x14ac:dyDescent="0.15">
      <c r="A195" s="11" t="str">
        <f>"4170099"</f>
        <v>4170099</v>
      </c>
      <c r="B195" s="12" t="str">
        <f>"Klinitulle|Salbenkompresse|steril|10x30cm|20x1"</f>
        <v>Klinitulle|Salbenkompresse|steril|10x30cm|20x1</v>
      </c>
      <c r="C195" s="12" t="str">
        <f>"MDR Risikoklasse IIa"</f>
        <v>MDR Risikoklasse IIa</v>
      </c>
      <c r="D195" s="12" t="str">
        <f>"KT000099"</f>
        <v>KT000099</v>
      </c>
      <c r="E195" s="12" t="str">
        <f>"MEDIQ MEDECO"</f>
        <v>MEDIQ MEDECO</v>
      </c>
      <c r="F195" s="12" t="str">
        <f>"Brandpuntlaan Zuid 14"</f>
        <v>Brandpuntlaan Zuid 14</v>
      </c>
      <c r="G195" s="12" t="str">
        <f>"NL-2665 NZ"</f>
        <v>NL-2665 NZ</v>
      </c>
      <c r="H195" s="12" t="str">
        <f>"Bleiswijk"</f>
        <v>Bleiswijk</v>
      </c>
      <c r="I195" s="12" t="str">
        <f>"KT001216"</f>
        <v>KT001216</v>
      </c>
      <c r="J195" s="12" t="str">
        <f>"Mediq Suisse AG"</f>
        <v>Mediq Suisse AG</v>
      </c>
      <c r="K195" s="12" t="str">
        <f>"Rosengartenstrasse 25"</f>
        <v>Rosengartenstrasse 25</v>
      </c>
      <c r="L195" s="12" t="str">
        <f>"CH-8608"</f>
        <v>CH-8608</v>
      </c>
      <c r="M195" s="12" t="str">
        <f>"Bubikon"</f>
        <v>Bubikon</v>
      </c>
      <c r="N195" s="12" t="str">
        <f>"CHRN-AR-20001658"</f>
        <v>CHRN-AR-20001658</v>
      </c>
      <c r="O195" s="12" t="str">
        <f>"KT001216"</f>
        <v>KT001216</v>
      </c>
      <c r="P195" s="13" t="str">
        <f>"Mediq Suisse AG"</f>
        <v>Mediq Suisse AG</v>
      </c>
    </row>
    <row r="196" spans="1:16" x14ac:dyDescent="0.15">
      <c r="A196" s="11" t="str">
        <f>"4170941"</f>
        <v>4170941</v>
      </c>
      <c r="B196" s="12" t="str">
        <f>"Klinion Zellstofftupfer Rolle|unsteril|4x5cm|2x500"</f>
        <v>Klinion Zellstofftupfer Rolle|unsteril|4x5cm|2x500</v>
      </c>
      <c r="C196" s="12" t="str">
        <f>"MDR Risikoklasse I"</f>
        <v>MDR Risikoklasse I</v>
      </c>
      <c r="D196" s="12" t="str">
        <f>"KT000099"</f>
        <v>KT000099</v>
      </c>
      <c r="E196" s="12" t="str">
        <f>"MEDIQ MEDECO"</f>
        <v>MEDIQ MEDECO</v>
      </c>
      <c r="F196" s="12" t="str">
        <f>"Brandpuntlaan Zuid 14"</f>
        <v>Brandpuntlaan Zuid 14</v>
      </c>
      <c r="G196" s="12" t="str">
        <f>"NL-2665 NZ"</f>
        <v>NL-2665 NZ</v>
      </c>
      <c r="H196" s="12" t="str">
        <f>"Bleiswijk"</f>
        <v>Bleiswijk</v>
      </c>
      <c r="I196" s="12" t="str">
        <f>"KT001216"</f>
        <v>KT001216</v>
      </c>
      <c r="J196" s="12" t="str">
        <f>"Mediq Suisse AG"</f>
        <v>Mediq Suisse AG</v>
      </c>
      <c r="K196" s="12" t="str">
        <f>"Rosengartenstrasse 25"</f>
        <v>Rosengartenstrasse 25</v>
      </c>
      <c r="L196" s="12" t="str">
        <f>"CH-8608"</f>
        <v>CH-8608</v>
      </c>
      <c r="M196" s="12" t="str">
        <f>"Bubikon"</f>
        <v>Bubikon</v>
      </c>
      <c r="N196" s="12" t="str">
        <f>"CHRN-AR-20001658"</f>
        <v>CHRN-AR-20001658</v>
      </c>
      <c r="O196" s="12" t="str">
        <f>"KT001216"</f>
        <v>KT001216</v>
      </c>
      <c r="P196" s="13" t="str">
        <f>"Mediq Suisse AG"</f>
        <v>Mediq Suisse AG</v>
      </c>
    </row>
    <row r="197" spans="1:16" x14ac:dyDescent="0.15">
      <c r="A197" s="11" t="str">
        <f>"4174101"</f>
        <v>4174101</v>
      </c>
      <c r="B197" s="12" t="str">
        <f>"Kliniderm Hydrocolloid Thin|steril|7.5x7.5cm|5x1"</f>
        <v>Kliniderm Hydrocolloid Thin|steril|7.5x7.5cm|5x1</v>
      </c>
      <c r="C197" s="12" t="str">
        <f>"MDR Risikoklasse IIb"</f>
        <v>MDR Risikoklasse IIb</v>
      </c>
      <c r="D197" s="12" t="str">
        <f>"KT000099"</f>
        <v>KT000099</v>
      </c>
      <c r="E197" s="12" t="str">
        <f>"MEDIQ MEDECO"</f>
        <v>MEDIQ MEDECO</v>
      </c>
      <c r="F197" s="12" t="str">
        <f>"Brandpuntlaan Zuid 14"</f>
        <v>Brandpuntlaan Zuid 14</v>
      </c>
      <c r="G197" s="12" t="str">
        <f>"NL-2665 NZ"</f>
        <v>NL-2665 NZ</v>
      </c>
      <c r="H197" s="12" t="str">
        <f>"Bleiswijk"</f>
        <v>Bleiswijk</v>
      </c>
      <c r="I197" s="12" t="str">
        <f>"KT001216"</f>
        <v>KT001216</v>
      </c>
      <c r="J197" s="12" t="str">
        <f>"Mediq Suisse AG"</f>
        <v>Mediq Suisse AG</v>
      </c>
      <c r="K197" s="12" t="str">
        <f>"Rosengartenstrasse 25"</f>
        <v>Rosengartenstrasse 25</v>
      </c>
      <c r="L197" s="12" t="str">
        <f>"CH-8608"</f>
        <v>CH-8608</v>
      </c>
      <c r="M197" s="12" t="str">
        <f>"Bubikon"</f>
        <v>Bubikon</v>
      </c>
      <c r="N197" s="12" t="str">
        <f>"CHRN-AR-20001658"</f>
        <v>CHRN-AR-20001658</v>
      </c>
      <c r="O197" s="12" t="str">
        <f>"KT001216"</f>
        <v>KT001216</v>
      </c>
      <c r="P197" s="13" t="str">
        <f>"Mediq Suisse AG"</f>
        <v>Mediq Suisse AG</v>
      </c>
    </row>
    <row r="198" spans="1:16" x14ac:dyDescent="0.15">
      <c r="A198" s="11" t="str">
        <f>"4174102"</f>
        <v>4174102</v>
      </c>
      <c r="B198" s="12" t="str">
        <f>"Kliniderm Hydrocolloid Thin|steril|10x10 cm|5x1"</f>
        <v>Kliniderm Hydrocolloid Thin|steril|10x10 cm|5x1</v>
      </c>
      <c r="C198" s="12" t="str">
        <f>"MDR Risikoklasse IIb"</f>
        <v>MDR Risikoklasse IIb</v>
      </c>
      <c r="D198" s="12" t="str">
        <f>"KT000099"</f>
        <v>KT000099</v>
      </c>
      <c r="E198" s="12" t="str">
        <f>"MEDIQ MEDECO"</f>
        <v>MEDIQ MEDECO</v>
      </c>
      <c r="F198" s="12" t="str">
        <f>"Brandpuntlaan Zuid 14"</f>
        <v>Brandpuntlaan Zuid 14</v>
      </c>
      <c r="G198" s="12" t="str">
        <f>"NL-2665 NZ"</f>
        <v>NL-2665 NZ</v>
      </c>
      <c r="H198" s="12" t="str">
        <f>"Bleiswijk"</f>
        <v>Bleiswijk</v>
      </c>
      <c r="I198" s="12" t="str">
        <f>"KT001216"</f>
        <v>KT001216</v>
      </c>
      <c r="J198" s="12" t="str">
        <f>"Mediq Suisse AG"</f>
        <v>Mediq Suisse AG</v>
      </c>
      <c r="K198" s="12" t="str">
        <f>"Rosengartenstrasse 25"</f>
        <v>Rosengartenstrasse 25</v>
      </c>
      <c r="L198" s="12" t="str">
        <f>"CH-8608"</f>
        <v>CH-8608</v>
      </c>
      <c r="M198" s="12" t="str">
        <f>"Bubikon"</f>
        <v>Bubikon</v>
      </c>
      <c r="N198" s="12" t="str">
        <f>"CHRN-AR-20001658"</f>
        <v>CHRN-AR-20001658</v>
      </c>
      <c r="O198" s="12" t="str">
        <f>"KT001216"</f>
        <v>KT001216</v>
      </c>
      <c r="P198" s="13" t="str">
        <f>"Mediq Suisse AG"</f>
        <v>Mediq Suisse AG</v>
      </c>
    </row>
    <row r="199" spans="1:16" x14ac:dyDescent="0.15">
      <c r="A199" s="11" t="str">
        <f>"4174201"</f>
        <v>4174201</v>
      </c>
      <c r="B199" s="12" t="str">
        <f>"Kliniderm Hydrocolloid Border|steril|7x7 cm|5x1"</f>
        <v>Kliniderm Hydrocolloid Border|steril|7x7 cm|5x1</v>
      </c>
      <c r="C199" s="12" t="str">
        <f>"MDR Risikoklasse IIb"</f>
        <v>MDR Risikoklasse IIb</v>
      </c>
      <c r="D199" s="12" t="str">
        <f>"KT000099"</f>
        <v>KT000099</v>
      </c>
      <c r="E199" s="12" t="str">
        <f>"MEDIQ MEDECO"</f>
        <v>MEDIQ MEDECO</v>
      </c>
      <c r="F199" s="12" t="str">
        <f>"Brandpuntlaan Zuid 14"</f>
        <v>Brandpuntlaan Zuid 14</v>
      </c>
      <c r="G199" s="12" t="str">
        <f>"NL-2665 NZ"</f>
        <v>NL-2665 NZ</v>
      </c>
      <c r="H199" s="12" t="str">
        <f>"Bleiswijk"</f>
        <v>Bleiswijk</v>
      </c>
      <c r="I199" s="12" t="str">
        <f>"KT001216"</f>
        <v>KT001216</v>
      </c>
      <c r="J199" s="12" t="str">
        <f>"Mediq Suisse AG"</f>
        <v>Mediq Suisse AG</v>
      </c>
      <c r="K199" s="12" t="str">
        <f>"Rosengartenstrasse 25"</f>
        <v>Rosengartenstrasse 25</v>
      </c>
      <c r="L199" s="12" t="str">
        <f>"CH-8608"</f>
        <v>CH-8608</v>
      </c>
      <c r="M199" s="12" t="str">
        <f>"Bubikon"</f>
        <v>Bubikon</v>
      </c>
      <c r="N199" s="12" t="str">
        <f>"CHRN-AR-20001658"</f>
        <v>CHRN-AR-20001658</v>
      </c>
      <c r="O199" s="12" t="str">
        <f>"KT001216"</f>
        <v>KT001216</v>
      </c>
      <c r="P199" s="13" t="str">
        <f>"Mediq Suisse AG"</f>
        <v>Mediq Suisse AG</v>
      </c>
    </row>
    <row r="200" spans="1:16" x14ac:dyDescent="0.15">
      <c r="A200" s="11" t="str">
        <f>"4174202"</f>
        <v>4174202</v>
      </c>
      <c r="B200" s="12" t="str">
        <f>"Kliniderm Hydrocolloid Border|steril 10x10 cm|5x1"</f>
        <v>Kliniderm Hydrocolloid Border|steril 10x10 cm|5x1</v>
      </c>
      <c r="C200" s="12" t="str">
        <f>"MDR Risikoklasse IIb"</f>
        <v>MDR Risikoklasse IIb</v>
      </c>
      <c r="D200" s="12" t="str">
        <f>"KT000099"</f>
        <v>KT000099</v>
      </c>
      <c r="E200" s="12" t="str">
        <f>"MEDIQ MEDECO"</f>
        <v>MEDIQ MEDECO</v>
      </c>
      <c r="F200" s="12" t="str">
        <f>"Brandpuntlaan Zuid 14"</f>
        <v>Brandpuntlaan Zuid 14</v>
      </c>
      <c r="G200" s="12" t="str">
        <f>"NL-2665 NZ"</f>
        <v>NL-2665 NZ</v>
      </c>
      <c r="H200" s="12" t="str">
        <f>"Bleiswijk"</f>
        <v>Bleiswijk</v>
      </c>
      <c r="I200" s="12" t="str">
        <f>"KT001216"</f>
        <v>KT001216</v>
      </c>
      <c r="J200" s="12" t="str">
        <f>"Mediq Suisse AG"</f>
        <v>Mediq Suisse AG</v>
      </c>
      <c r="K200" s="12" t="str">
        <f>"Rosengartenstrasse 25"</f>
        <v>Rosengartenstrasse 25</v>
      </c>
      <c r="L200" s="12" t="str">
        <f>"CH-8608"</f>
        <v>CH-8608</v>
      </c>
      <c r="M200" s="12" t="str">
        <f>"Bubikon"</f>
        <v>Bubikon</v>
      </c>
      <c r="N200" s="12" t="str">
        <f>"CHRN-AR-20001658"</f>
        <v>CHRN-AR-20001658</v>
      </c>
      <c r="O200" s="12" t="str">
        <f>"KT001216"</f>
        <v>KT001216</v>
      </c>
      <c r="P200" s="13" t="str">
        <f>"Mediq Suisse AG"</f>
        <v>Mediq Suisse AG</v>
      </c>
    </row>
    <row r="201" spans="1:16" x14ac:dyDescent="0.15">
      <c r="A201" s="11" t="str">
        <f>"4174302"</f>
        <v>4174302</v>
      </c>
      <c r="B201" s="12" t="str">
        <f>"Kliniderm Hydrocolloid|steril|10x10cm|5x1"</f>
        <v>Kliniderm Hydrocolloid|steril|10x10cm|5x1</v>
      </c>
      <c r="C201" s="12" t="str">
        <f>"MDR Risikoklasse IIb"</f>
        <v>MDR Risikoklasse IIb</v>
      </c>
      <c r="D201" s="12" t="str">
        <f>"KT000099"</f>
        <v>KT000099</v>
      </c>
      <c r="E201" s="12" t="str">
        <f>"MEDIQ MEDECO"</f>
        <v>MEDIQ MEDECO</v>
      </c>
      <c r="F201" s="12" t="str">
        <f>"Brandpuntlaan Zuid 14"</f>
        <v>Brandpuntlaan Zuid 14</v>
      </c>
      <c r="G201" s="12" t="str">
        <f>"NL-2665 NZ"</f>
        <v>NL-2665 NZ</v>
      </c>
      <c r="H201" s="12" t="str">
        <f>"Bleiswijk"</f>
        <v>Bleiswijk</v>
      </c>
      <c r="I201" s="12" t="str">
        <f>"KT001216"</f>
        <v>KT001216</v>
      </c>
      <c r="J201" s="12" t="str">
        <f>"Mediq Suisse AG"</f>
        <v>Mediq Suisse AG</v>
      </c>
      <c r="K201" s="12" t="str">
        <f>"Rosengartenstrasse 25"</f>
        <v>Rosengartenstrasse 25</v>
      </c>
      <c r="L201" s="12" t="str">
        <f>"CH-8608"</f>
        <v>CH-8608</v>
      </c>
      <c r="M201" s="12" t="str">
        <f>"Bubikon"</f>
        <v>Bubikon</v>
      </c>
      <c r="N201" s="12" t="str">
        <f>"CHRN-AR-20001658"</f>
        <v>CHRN-AR-20001658</v>
      </c>
      <c r="O201" s="12" t="str">
        <f>"KT001216"</f>
        <v>KT001216</v>
      </c>
      <c r="P201" s="13" t="str">
        <f>"Mediq Suisse AG"</f>
        <v>Mediq Suisse AG</v>
      </c>
    </row>
    <row r="202" spans="1:16" x14ac:dyDescent="0.15">
      <c r="A202" s="11" t="str">
        <f>"4174501"</f>
        <v>4174501</v>
      </c>
      <c r="B202" s="12" t="str">
        <f>"Kliniderm Alginate Standard|steril|5x5cm|10x1"</f>
        <v>Kliniderm Alginate Standard|steril|5x5cm|10x1</v>
      </c>
      <c r="C202" s="12" t="str">
        <f>"MDR Risikoklasse IIb"</f>
        <v>MDR Risikoklasse IIb</v>
      </c>
      <c r="D202" s="12" t="str">
        <f>"KT000099"</f>
        <v>KT000099</v>
      </c>
      <c r="E202" s="12" t="str">
        <f>"MEDIQ MEDECO"</f>
        <v>MEDIQ MEDECO</v>
      </c>
      <c r="F202" s="12" t="str">
        <f>"Brandpuntlaan Zuid 14"</f>
        <v>Brandpuntlaan Zuid 14</v>
      </c>
      <c r="G202" s="12" t="str">
        <f>"NL-2665 NZ"</f>
        <v>NL-2665 NZ</v>
      </c>
      <c r="H202" s="12" t="str">
        <f>"Bleiswijk"</f>
        <v>Bleiswijk</v>
      </c>
      <c r="I202" s="12" t="str">
        <f>"KT001216"</f>
        <v>KT001216</v>
      </c>
      <c r="J202" s="12" t="str">
        <f>"Mediq Suisse AG"</f>
        <v>Mediq Suisse AG</v>
      </c>
      <c r="K202" s="12" t="str">
        <f>"Rosengartenstrasse 25"</f>
        <v>Rosengartenstrasse 25</v>
      </c>
      <c r="L202" s="12" t="str">
        <f>"CH-8608"</f>
        <v>CH-8608</v>
      </c>
      <c r="M202" s="12" t="str">
        <f>"Bubikon"</f>
        <v>Bubikon</v>
      </c>
      <c r="N202" s="12" t="str">
        <f>"CHRN-AR-20001658"</f>
        <v>CHRN-AR-20001658</v>
      </c>
      <c r="O202" s="12" t="str">
        <f>"KT001216"</f>
        <v>KT001216</v>
      </c>
      <c r="P202" s="13" t="str">
        <f>"Mediq Suisse AG"</f>
        <v>Mediq Suisse AG</v>
      </c>
    </row>
    <row r="203" spans="1:16" x14ac:dyDescent="0.15">
      <c r="A203" s="11" t="str">
        <f>"4174502"</f>
        <v>4174502</v>
      </c>
      <c r="B203" s="12" t="str">
        <f>"Kliniderm Alginate Standard|steril|10x10 cm|10x1"</f>
        <v>Kliniderm Alginate Standard|steril|10x10 cm|10x1</v>
      </c>
      <c r="C203" s="12" t="str">
        <f>"MDR Risikoklasse IIb"</f>
        <v>MDR Risikoklasse IIb</v>
      </c>
      <c r="D203" s="12" t="str">
        <f>"KT000099"</f>
        <v>KT000099</v>
      </c>
      <c r="E203" s="12" t="str">
        <f>"MEDIQ MEDECO"</f>
        <v>MEDIQ MEDECO</v>
      </c>
      <c r="F203" s="12" t="str">
        <f>"Brandpuntlaan Zuid 14"</f>
        <v>Brandpuntlaan Zuid 14</v>
      </c>
      <c r="G203" s="12" t="str">
        <f>"NL-2665 NZ"</f>
        <v>NL-2665 NZ</v>
      </c>
      <c r="H203" s="12" t="str">
        <f>"Bleiswijk"</f>
        <v>Bleiswijk</v>
      </c>
      <c r="I203" s="12" t="str">
        <f>"KT001216"</f>
        <v>KT001216</v>
      </c>
      <c r="J203" s="12" t="str">
        <f>"Mediq Suisse AG"</f>
        <v>Mediq Suisse AG</v>
      </c>
      <c r="K203" s="12" t="str">
        <f>"Rosengartenstrasse 25"</f>
        <v>Rosengartenstrasse 25</v>
      </c>
      <c r="L203" s="12" t="str">
        <f>"CH-8608"</f>
        <v>CH-8608</v>
      </c>
      <c r="M203" s="12" t="str">
        <f>"Bubikon"</f>
        <v>Bubikon</v>
      </c>
      <c r="N203" s="12" t="str">
        <f>"CHRN-AR-20001658"</f>
        <v>CHRN-AR-20001658</v>
      </c>
      <c r="O203" s="12" t="str">
        <f>"KT001216"</f>
        <v>KT001216</v>
      </c>
      <c r="P203" s="13" t="str">
        <f>"Mediq Suisse AG"</f>
        <v>Mediq Suisse AG</v>
      </c>
    </row>
    <row r="204" spans="1:16" x14ac:dyDescent="0.15">
      <c r="A204" s="11" t="str">
        <f>"4174700"</f>
        <v>4174700</v>
      </c>
      <c r="B204" s="12" t="str">
        <f>"L-Mesitran Ointment|antibakt.Salbe|48% Honig|50gr"</f>
        <v>L-Mesitran Ointment|antibakt.Salbe|48% Honig|50gr</v>
      </c>
      <c r="C204" s="12" t="str">
        <f>"MDR Risikoklasse IIb"</f>
        <v>MDR Risikoklasse IIb</v>
      </c>
      <c r="D204" s="12" t="str">
        <f>"KT000099"</f>
        <v>KT000099</v>
      </c>
      <c r="E204" s="12" t="str">
        <f>"MEDIQ MEDECO"</f>
        <v>MEDIQ MEDECO</v>
      </c>
      <c r="F204" s="12" t="str">
        <f>"Brandpuntlaan Zuid 14"</f>
        <v>Brandpuntlaan Zuid 14</v>
      </c>
      <c r="G204" s="12" t="str">
        <f>"NL-2665 NZ"</f>
        <v>NL-2665 NZ</v>
      </c>
      <c r="H204" s="12" t="str">
        <f>"Bleiswijk"</f>
        <v>Bleiswijk</v>
      </c>
      <c r="I204" s="12" t="str">
        <f>"KT001216"</f>
        <v>KT001216</v>
      </c>
      <c r="J204" s="12" t="str">
        <f>"Mediq Suisse AG"</f>
        <v>Mediq Suisse AG</v>
      </c>
      <c r="K204" s="12" t="str">
        <f>"Rosengartenstrasse 25"</f>
        <v>Rosengartenstrasse 25</v>
      </c>
      <c r="L204" s="12" t="str">
        <f>"CH-8608"</f>
        <v>CH-8608</v>
      </c>
      <c r="M204" s="12" t="str">
        <f>"Bubikon"</f>
        <v>Bubikon</v>
      </c>
      <c r="N204" s="12" t="str">
        <f>"CHRN-AR-20001658"</f>
        <v>CHRN-AR-20001658</v>
      </c>
      <c r="O204" s="12" t="str">
        <f>"KT001216"</f>
        <v>KT001216</v>
      </c>
      <c r="P204" s="13" t="str">
        <f>"Mediq Suisse AG"</f>
        <v>Mediq Suisse AG</v>
      </c>
    </row>
    <row r="205" spans="1:16" x14ac:dyDescent="0.15">
      <c r="A205" s="11" t="str">
        <f>"4174701-1"</f>
        <v>4174701-1</v>
      </c>
      <c r="B205" s="12" t="str">
        <f>"L-Mesitran Ointment|antibakt.Salbe|48% Honig|20gr"</f>
        <v>L-Mesitran Ointment|antibakt.Salbe|48% Honig|20gr</v>
      </c>
      <c r="C205" s="12" t="str">
        <f>"MDR Risikoklasse IIb"</f>
        <v>MDR Risikoklasse IIb</v>
      </c>
      <c r="D205" s="12" t="str">
        <f>"KT000099"</f>
        <v>KT000099</v>
      </c>
      <c r="E205" s="12" t="str">
        <f>"MEDIQ MEDECO"</f>
        <v>MEDIQ MEDECO</v>
      </c>
      <c r="F205" s="12" t="str">
        <f>"Brandpuntlaan Zuid 14"</f>
        <v>Brandpuntlaan Zuid 14</v>
      </c>
      <c r="G205" s="12" t="str">
        <f>"NL-2665 NZ"</f>
        <v>NL-2665 NZ</v>
      </c>
      <c r="H205" s="12" t="str">
        <f>"Bleiswijk"</f>
        <v>Bleiswijk</v>
      </c>
      <c r="I205" s="12" t="str">
        <f>"KT001216"</f>
        <v>KT001216</v>
      </c>
      <c r="J205" s="12" t="str">
        <f>"Mediq Suisse AG"</f>
        <v>Mediq Suisse AG</v>
      </c>
      <c r="K205" s="12" t="str">
        <f>"Rosengartenstrasse 25"</f>
        <v>Rosengartenstrasse 25</v>
      </c>
      <c r="L205" s="12" t="str">
        <f>"CH-8608"</f>
        <v>CH-8608</v>
      </c>
      <c r="M205" s="12" t="str">
        <f>"Bubikon"</f>
        <v>Bubikon</v>
      </c>
      <c r="N205" s="12" t="str">
        <f>"CHRN-AR-20001658"</f>
        <v>CHRN-AR-20001658</v>
      </c>
      <c r="O205" s="12" t="str">
        <f>"KT001216"</f>
        <v>KT001216</v>
      </c>
      <c r="P205" s="13" t="str">
        <f>"Mediq Suisse AG"</f>
        <v>Mediq Suisse AG</v>
      </c>
    </row>
    <row r="206" spans="1:16" x14ac:dyDescent="0.15">
      <c r="A206" s="11" t="str">
        <f>"4174705"</f>
        <v>4174705</v>
      </c>
      <c r="B206" s="12" t="str">
        <f>"L-Mesitran Soft|antibakt. Wundgel|40% Honig|15gr"</f>
        <v>L-Mesitran Soft|antibakt. Wundgel|40% Honig|15gr</v>
      </c>
      <c r="C206" s="12" t="str">
        <f>"MDR Risikoklasse IIb"</f>
        <v>MDR Risikoklasse IIb</v>
      </c>
      <c r="D206" s="12" t="str">
        <f>"KT000099"</f>
        <v>KT000099</v>
      </c>
      <c r="E206" s="12" t="str">
        <f>"MEDIQ MEDECO"</f>
        <v>MEDIQ MEDECO</v>
      </c>
      <c r="F206" s="12" t="str">
        <f>"Brandpuntlaan Zuid 14"</f>
        <v>Brandpuntlaan Zuid 14</v>
      </c>
      <c r="G206" s="12" t="str">
        <f>"NL-2665 NZ"</f>
        <v>NL-2665 NZ</v>
      </c>
      <c r="H206" s="12" t="str">
        <f>"Bleiswijk"</f>
        <v>Bleiswijk</v>
      </c>
      <c r="I206" s="12" t="str">
        <f>"KT001216"</f>
        <v>KT001216</v>
      </c>
      <c r="J206" s="12" t="str">
        <f>"Mediq Suisse AG"</f>
        <v>Mediq Suisse AG</v>
      </c>
      <c r="K206" s="12" t="str">
        <f>"Rosengartenstrasse 25"</f>
        <v>Rosengartenstrasse 25</v>
      </c>
      <c r="L206" s="12" t="str">
        <f>"CH-8608"</f>
        <v>CH-8608</v>
      </c>
      <c r="M206" s="12" t="str">
        <f>"Bubikon"</f>
        <v>Bubikon</v>
      </c>
      <c r="N206" s="12" t="str">
        <f>"CHRN-AR-20001658"</f>
        <v>CHRN-AR-20001658</v>
      </c>
      <c r="O206" s="12" t="str">
        <f>"KT001216"</f>
        <v>KT001216</v>
      </c>
      <c r="P206" s="13" t="str">
        <f>"Mediq Suisse AG"</f>
        <v>Mediq Suisse AG</v>
      </c>
    </row>
    <row r="207" spans="1:16" x14ac:dyDescent="0.15">
      <c r="A207" s="11" t="str">
        <f>"4174710"</f>
        <v>4174710</v>
      </c>
      <c r="B207" s="12" t="str">
        <f>"L-Mesitran Hydro|steril||10x10cm"</f>
        <v>L-Mesitran Hydro|steril||10x10cm</v>
      </c>
      <c r="C207" s="12" t="str">
        <f>"MDR Risikoklasse IIb"</f>
        <v>MDR Risikoklasse IIb</v>
      </c>
      <c r="D207" s="12" t="str">
        <f>"KT000099"</f>
        <v>KT000099</v>
      </c>
      <c r="E207" s="12" t="str">
        <f>"MEDIQ MEDECO"</f>
        <v>MEDIQ MEDECO</v>
      </c>
      <c r="F207" s="12" t="str">
        <f>"Brandpuntlaan Zuid 14"</f>
        <v>Brandpuntlaan Zuid 14</v>
      </c>
      <c r="G207" s="12" t="str">
        <f>"NL-2665 NZ"</f>
        <v>NL-2665 NZ</v>
      </c>
      <c r="H207" s="12" t="str">
        <f>"Bleiswijk"</f>
        <v>Bleiswijk</v>
      </c>
      <c r="I207" s="12" t="str">
        <f>"KT001216"</f>
        <v>KT001216</v>
      </c>
      <c r="J207" s="12" t="str">
        <f>"Mediq Suisse AG"</f>
        <v>Mediq Suisse AG</v>
      </c>
      <c r="K207" s="12" t="str">
        <f>"Rosengartenstrasse 25"</f>
        <v>Rosengartenstrasse 25</v>
      </c>
      <c r="L207" s="12" t="str">
        <f>"CH-8608"</f>
        <v>CH-8608</v>
      </c>
      <c r="M207" s="12" t="str">
        <f>"Bubikon"</f>
        <v>Bubikon</v>
      </c>
      <c r="N207" s="12" t="str">
        <f>"CHRN-AR-20001658"</f>
        <v>CHRN-AR-20001658</v>
      </c>
      <c r="O207" s="12" t="str">
        <f>"KT001216"</f>
        <v>KT001216</v>
      </c>
      <c r="P207" s="13" t="str">
        <f>"Mediq Suisse AG"</f>
        <v>Mediq Suisse AG</v>
      </c>
    </row>
    <row r="208" spans="1:16" x14ac:dyDescent="0.15">
      <c r="A208" s="11" t="str">
        <f>"4174711"</f>
        <v>4174711</v>
      </c>
      <c r="B208" s="12" t="str">
        <f>"L-Mesitran Hydro Border|steril|10x10cm"</f>
        <v>L-Mesitran Hydro Border|steril|10x10cm</v>
      </c>
      <c r="C208" s="12" t="str">
        <f>"MDR Risikoklasse IIb"</f>
        <v>MDR Risikoklasse IIb</v>
      </c>
      <c r="D208" s="12" t="str">
        <f>"KT000099"</f>
        <v>KT000099</v>
      </c>
      <c r="E208" s="12" t="str">
        <f>"MEDIQ MEDECO"</f>
        <v>MEDIQ MEDECO</v>
      </c>
      <c r="F208" s="12" t="str">
        <f>"Brandpuntlaan Zuid 14"</f>
        <v>Brandpuntlaan Zuid 14</v>
      </c>
      <c r="G208" s="12" t="str">
        <f>"NL-2665 NZ"</f>
        <v>NL-2665 NZ</v>
      </c>
      <c r="H208" s="12" t="str">
        <f>"Bleiswijk"</f>
        <v>Bleiswijk</v>
      </c>
      <c r="I208" s="12" t="str">
        <f>"KT001216"</f>
        <v>KT001216</v>
      </c>
      <c r="J208" s="12" t="str">
        <f>"Mediq Suisse AG"</f>
        <v>Mediq Suisse AG</v>
      </c>
      <c r="K208" s="12" t="str">
        <f>"Rosengartenstrasse 25"</f>
        <v>Rosengartenstrasse 25</v>
      </c>
      <c r="L208" s="12" t="str">
        <f>"CH-8608"</f>
        <v>CH-8608</v>
      </c>
      <c r="M208" s="12" t="str">
        <f>"Bubikon"</f>
        <v>Bubikon</v>
      </c>
      <c r="N208" s="12" t="str">
        <f>"CHRN-AR-20001658"</f>
        <v>CHRN-AR-20001658</v>
      </c>
      <c r="O208" s="12" t="str">
        <f>"KT001216"</f>
        <v>KT001216</v>
      </c>
      <c r="P208" s="13" t="str">
        <f>"Mediq Suisse AG"</f>
        <v>Mediq Suisse AG</v>
      </c>
    </row>
    <row r="209" spans="1:16" x14ac:dyDescent="0.15">
      <c r="A209" s="11" t="str">
        <f>"4174715"</f>
        <v>4174715</v>
      </c>
      <c r="B209" s="12" t="str">
        <f>"L-Mesitran Tulle|steril|10x10cm"</f>
        <v>L-Mesitran Tulle|steril|10x10cm</v>
      </c>
      <c r="C209" s="12" t="str">
        <f>"MDR Risikoklasse IIb"</f>
        <v>MDR Risikoklasse IIb</v>
      </c>
      <c r="D209" s="12" t="str">
        <f>"KT000099"</f>
        <v>KT000099</v>
      </c>
      <c r="E209" s="12" t="str">
        <f>"MEDIQ MEDECO"</f>
        <v>MEDIQ MEDECO</v>
      </c>
      <c r="F209" s="12" t="str">
        <f>"Brandpuntlaan Zuid 14"</f>
        <v>Brandpuntlaan Zuid 14</v>
      </c>
      <c r="G209" s="12" t="str">
        <f>"NL-2665 NZ"</f>
        <v>NL-2665 NZ</v>
      </c>
      <c r="H209" s="12" t="str">
        <f>"Bleiswijk"</f>
        <v>Bleiswijk</v>
      </c>
      <c r="I209" s="12" t="str">
        <f>"KT001216"</f>
        <v>KT001216</v>
      </c>
      <c r="J209" s="12" t="str">
        <f>"Mediq Suisse AG"</f>
        <v>Mediq Suisse AG</v>
      </c>
      <c r="K209" s="12" t="str">
        <f>"Rosengartenstrasse 25"</f>
        <v>Rosengartenstrasse 25</v>
      </c>
      <c r="L209" s="12" t="str">
        <f>"CH-8608"</f>
        <v>CH-8608</v>
      </c>
      <c r="M209" s="12" t="str">
        <f>"Bubikon"</f>
        <v>Bubikon</v>
      </c>
      <c r="N209" s="12" t="str">
        <f>"CHRN-AR-20001658"</f>
        <v>CHRN-AR-20001658</v>
      </c>
      <c r="O209" s="12" t="str">
        <f>"KT001216"</f>
        <v>KT001216</v>
      </c>
      <c r="P209" s="13" t="str">
        <f>"Mediq Suisse AG"</f>
        <v>Mediq Suisse AG</v>
      </c>
    </row>
    <row r="210" spans="1:16" x14ac:dyDescent="0.15">
      <c r="A210" s="11" t="str">
        <f>"4174810"</f>
        <v>4174810</v>
      </c>
      <c r="B210" s="12" t="str">
        <f>"Kliniderm Foam|steril|5x5cm|10x1"</f>
        <v>Kliniderm Foam|steril|5x5cm|10x1</v>
      </c>
      <c r="C210" s="12" t="str">
        <f>"MDR Risikoklasse IIb"</f>
        <v>MDR Risikoklasse IIb</v>
      </c>
      <c r="D210" s="12" t="str">
        <f>"KT000099"</f>
        <v>KT000099</v>
      </c>
      <c r="E210" s="12" t="str">
        <f>"MEDIQ MEDECO"</f>
        <v>MEDIQ MEDECO</v>
      </c>
      <c r="F210" s="12" t="str">
        <f>"Brandpuntlaan Zuid 14"</f>
        <v>Brandpuntlaan Zuid 14</v>
      </c>
      <c r="G210" s="12" t="str">
        <f>"NL-2665 NZ"</f>
        <v>NL-2665 NZ</v>
      </c>
      <c r="H210" s="12" t="str">
        <f>"Bleiswijk"</f>
        <v>Bleiswijk</v>
      </c>
      <c r="I210" s="12" t="str">
        <f>"KT001216"</f>
        <v>KT001216</v>
      </c>
      <c r="J210" s="12" t="str">
        <f>"Mediq Suisse AG"</f>
        <v>Mediq Suisse AG</v>
      </c>
      <c r="K210" s="12" t="str">
        <f>"Rosengartenstrasse 25"</f>
        <v>Rosengartenstrasse 25</v>
      </c>
      <c r="L210" s="12" t="str">
        <f>"CH-8608"</f>
        <v>CH-8608</v>
      </c>
      <c r="M210" s="12" t="str">
        <f>"Bubikon"</f>
        <v>Bubikon</v>
      </c>
      <c r="N210" s="12" t="str">
        <f>"CHRN-AR-20001658"</f>
        <v>CHRN-AR-20001658</v>
      </c>
      <c r="O210" s="12" t="str">
        <f>"KT001216"</f>
        <v>KT001216</v>
      </c>
      <c r="P210" s="13" t="str">
        <f>"Mediq Suisse AG"</f>
        <v>Mediq Suisse AG</v>
      </c>
    </row>
    <row r="211" spans="1:16" x14ac:dyDescent="0.15">
      <c r="A211" s="11" t="str">
        <f>"4174811"</f>
        <v>4174811</v>
      </c>
      <c r="B211" s="12" t="str">
        <f>"Kliniderm Foam|steril|10x10cm|10x1"</f>
        <v>Kliniderm Foam|steril|10x10cm|10x1</v>
      </c>
      <c r="C211" s="12" t="str">
        <f>"MDR Risikoklasse IIb"</f>
        <v>MDR Risikoklasse IIb</v>
      </c>
      <c r="D211" s="12" t="str">
        <f>"KT000099"</f>
        <v>KT000099</v>
      </c>
      <c r="E211" s="12" t="str">
        <f>"MEDIQ MEDECO"</f>
        <v>MEDIQ MEDECO</v>
      </c>
      <c r="F211" s="12" t="str">
        <f>"Brandpuntlaan Zuid 14"</f>
        <v>Brandpuntlaan Zuid 14</v>
      </c>
      <c r="G211" s="12" t="str">
        <f>"NL-2665 NZ"</f>
        <v>NL-2665 NZ</v>
      </c>
      <c r="H211" s="12" t="str">
        <f>"Bleiswijk"</f>
        <v>Bleiswijk</v>
      </c>
      <c r="I211" s="12" t="str">
        <f>"KT001216"</f>
        <v>KT001216</v>
      </c>
      <c r="J211" s="12" t="str">
        <f>"Mediq Suisse AG"</f>
        <v>Mediq Suisse AG</v>
      </c>
      <c r="K211" s="12" t="str">
        <f>"Rosengartenstrasse 25"</f>
        <v>Rosengartenstrasse 25</v>
      </c>
      <c r="L211" s="12" t="str">
        <f>"CH-8608"</f>
        <v>CH-8608</v>
      </c>
      <c r="M211" s="12" t="str">
        <f>"Bubikon"</f>
        <v>Bubikon</v>
      </c>
      <c r="N211" s="12" t="str">
        <f>"CHRN-AR-20001658"</f>
        <v>CHRN-AR-20001658</v>
      </c>
      <c r="O211" s="12" t="str">
        <f>"KT001216"</f>
        <v>KT001216</v>
      </c>
      <c r="P211" s="13" t="str">
        <f>"Mediq Suisse AG"</f>
        <v>Mediq Suisse AG</v>
      </c>
    </row>
    <row r="212" spans="1:16" x14ac:dyDescent="0.15">
      <c r="A212" s="11" t="str">
        <f>"4174812"</f>
        <v>4174812</v>
      </c>
      <c r="B212" s="12" t="str">
        <f>"Kliniderm Foam|steril|15x15cm|10x1"</f>
        <v>Kliniderm Foam|steril|15x15cm|10x1</v>
      </c>
      <c r="C212" s="12" t="str">
        <f>"MDR Risikoklasse IIb"</f>
        <v>MDR Risikoklasse IIb</v>
      </c>
      <c r="D212" s="12" t="str">
        <f>"KT000099"</f>
        <v>KT000099</v>
      </c>
      <c r="E212" s="12" t="str">
        <f>"MEDIQ MEDECO"</f>
        <v>MEDIQ MEDECO</v>
      </c>
      <c r="F212" s="12" t="str">
        <f>"Brandpuntlaan Zuid 14"</f>
        <v>Brandpuntlaan Zuid 14</v>
      </c>
      <c r="G212" s="12" t="str">
        <f>"NL-2665 NZ"</f>
        <v>NL-2665 NZ</v>
      </c>
      <c r="H212" s="12" t="str">
        <f>"Bleiswijk"</f>
        <v>Bleiswijk</v>
      </c>
      <c r="I212" s="12" t="str">
        <f>"KT001216"</f>
        <v>KT001216</v>
      </c>
      <c r="J212" s="12" t="str">
        <f>"Mediq Suisse AG"</f>
        <v>Mediq Suisse AG</v>
      </c>
      <c r="K212" s="12" t="str">
        <f>"Rosengartenstrasse 25"</f>
        <v>Rosengartenstrasse 25</v>
      </c>
      <c r="L212" s="12" t="str">
        <f>"CH-8608"</f>
        <v>CH-8608</v>
      </c>
      <c r="M212" s="12" t="str">
        <f>"Bubikon"</f>
        <v>Bubikon</v>
      </c>
      <c r="N212" s="12" t="str">
        <f>"CHRN-AR-20001658"</f>
        <v>CHRN-AR-20001658</v>
      </c>
      <c r="O212" s="12" t="str">
        <f>"KT001216"</f>
        <v>KT001216</v>
      </c>
      <c r="P212" s="13" t="str">
        <f>"Mediq Suisse AG"</f>
        <v>Mediq Suisse AG</v>
      </c>
    </row>
    <row r="213" spans="1:16" x14ac:dyDescent="0.15">
      <c r="A213" s="11" t="str">
        <f>"4174813"</f>
        <v>4174813</v>
      </c>
      <c r="B213" s="12" t="str">
        <f>"Kliniderm Foam|steril|10x18cm|10x1"</f>
        <v>Kliniderm Foam|steril|10x18cm|10x1</v>
      </c>
      <c r="C213" s="12" t="str">
        <f>"MDR Risikoklasse IIb"</f>
        <v>MDR Risikoklasse IIb</v>
      </c>
      <c r="D213" s="12" t="str">
        <f>"KT000099"</f>
        <v>KT000099</v>
      </c>
      <c r="E213" s="12" t="str">
        <f>"MEDIQ MEDECO"</f>
        <v>MEDIQ MEDECO</v>
      </c>
      <c r="F213" s="12" t="str">
        <f>"Brandpuntlaan Zuid 14"</f>
        <v>Brandpuntlaan Zuid 14</v>
      </c>
      <c r="G213" s="12" t="str">
        <f>"NL-2665 NZ"</f>
        <v>NL-2665 NZ</v>
      </c>
      <c r="H213" s="12" t="str">
        <f>"Bleiswijk"</f>
        <v>Bleiswijk</v>
      </c>
      <c r="I213" s="12" t="str">
        <f>"KT001216"</f>
        <v>KT001216</v>
      </c>
      <c r="J213" s="12" t="str">
        <f>"Mediq Suisse AG"</f>
        <v>Mediq Suisse AG</v>
      </c>
      <c r="K213" s="12" t="str">
        <f>"Rosengartenstrasse 25"</f>
        <v>Rosengartenstrasse 25</v>
      </c>
      <c r="L213" s="12" t="str">
        <f>"CH-8608"</f>
        <v>CH-8608</v>
      </c>
      <c r="M213" s="12" t="str">
        <f>"Bubikon"</f>
        <v>Bubikon</v>
      </c>
      <c r="N213" s="12" t="str">
        <f>"CHRN-AR-20001658"</f>
        <v>CHRN-AR-20001658</v>
      </c>
      <c r="O213" s="12" t="str">
        <f>"KT001216"</f>
        <v>KT001216</v>
      </c>
      <c r="P213" s="13" t="str">
        <f>"Mediq Suisse AG"</f>
        <v>Mediq Suisse AG</v>
      </c>
    </row>
    <row r="214" spans="1:16" x14ac:dyDescent="0.15">
      <c r="A214" s="11" t="str">
        <f>"4174815"</f>
        <v>4174815</v>
      </c>
      <c r="B214" s="12" t="str">
        <f>"Kliniderm Foam Border|7.5x7.5cm|10x1"</f>
        <v>Kliniderm Foam Border|7.5x7.5cm|10x1</v>
      </c>
      <c r="C214" s="12" t="str">
        <f>"MDR Risikoklasse IIb"</f>
        <v>MDR Risikoklasse IIb</v>
      </c>
      <c r="D214" s="12" t="str">
        <f>"KT000099"</f>
        <v>KT000099</v>
      </c>
      <c r="E214" s="12" t="str">
        <f>"MEDIQ MEDECO"</f>
        <v>MEDIQ MEDECO</v>
      </c>
      <c r="F214" s="12" t="str">
        <f>"Brandpuntlaan Zuid 14"</f>
        <v>Brandpuntlaan Zuid 14</v>
      </c>
      <c r="G214" s="12" t="str">
        <f>"NL-2665 NZ"</f>
        <v>NL-2665 NZ</v>
      </c>
      <c r="H214" s="12" t="str">
        <f>"Bleiswijk"</f>
        <v>Bleiswijk</v>
      </c>
      <c r="I214" s="12" t="str">
        <f>"KT001216"</f>
        <v>KT001216</v>
      </c>
      <c r="J214" s="12" t="str">
        <f>"Mediq Suisse AG"</f>
        <v>Mediq Suisse AG</v>
      </c>
      <c r="K214" s="12" t="str">
        <f>"Rosengartenstrasse 25"</f>
        <v>Rosengartenstrasse 25</v>
      </c>
      <c r="L214" s="12" t="str">
        <f>"CH-8608"</f>
        <v>CH-8608</v>
      </c>
      <c r="M214" s="12" t="str">
        <f>"Bubikon"</f>
        <v>Bubikon</v>
      </c>
      <c r="N214" s="12" t="str">
        <f>"CHRN-AR-20001658"</f>
        <v>CHRN-AR-20001658</v>
      </c>
      <c r="O214" s="12" t="str">
        <f>"KT001216"</f>
        <v>KT001216</v>
      </c>
      <c r="P214" s="13" t="str">
        <f>"Mediq Suisse AG"</f>
        <v>Mediq Suisse AG</v>
      </c>
    </row>
    <row r="215" spans="1:16" x14ac:dyDescent="0.15">
      <c r="A215" s="11" t="str">
        <f>"4174816"</f>
        <v>4174816</v>
      </c>
      <c r="B215" s="12" t="str">
        <f>"Kliniderm Foam Border|10x10cm|10x1"</f>
        <v>Kliniderm Foam Border|10x10cm|10x1</v>
      </c>
      <c r="C215" s="12" t="str">
        <f>"MDR Risikoklasse IIb"</f>
        <v>MDR Risikoklasse IIb</v>
      </c>
      <c r="D215" s="12" t="str">
        <f>"KT000099"</f>
        <v>KT000099</v>
      </c>
      <c r="E215" s="12" t="str">
        <f>"MEDIQ MEDECO"</f>
        <v>MEDIQ MEDECO</v>
      </c>
      <c r="F215" s="12" t="str">
        <f>"Brandpuntlaan Zuid 14"</f>
        <v>Brandpuntlaan Zuid 14</v>
      </c>
      <c r="G215" s="12" t="str">
        <f>"NL-2665 NZ"</f>
        <v>NL-2665 NZ</v>
      </c>
      <c r="H215" s="12" t="str">
        <f>"Bleiswijk"</f>
        <v>Bleiswijk</v>
      </c>
      <c r="I215" s="12" t="str">
        <f>"KT001216"</f>
        <v>KT001216</v>
      </c>
      <c r="J215" s="12" t="str">
        <f>"Mediq Suisse AG"</f>
        <v>Mediq Suisse AG</v>
      </c>
      <c r="K215" s="12" t="str">
        <f>"Rosengartenstrasse 25"</f>
        <v>Rosengartenstrasse 25</v>
      </c>
      <c r="L215" s="12" t="str">
        <f>"CH-8608"</f>
        <v>CH-8608</v>
      </c>
      <c r="M215" s="12" t="str">
        <f>"Bubikon"</f>
        <v>Bubikon</v>
      </c>
      <c r="N215" s="12" t="str">
        <f>"CHRN-AR-20001658"</f>
        <v>CHRN-AR-20001658</v>
      </c>
      <c r="O215" s="12" t="str">
        <f>"KT001216"</f>
        <v>KT001216</v>
      </c>
      <c r="P215" s="13" t="str">
        <f>"Mediq Suisse AG"</f>
        <v>Mediq Suisse AG</v>
      </c>
    </row>
    <row r="216" spans="1:16" x14ac:dyDescent="0.15">
      <c r="A216" s="11" t="str">
        <f>"4174817"</f>
        <v>4174817</v>
      </c>
      <c r="B216" s="12" t="str">
        <f>"Kliniderm Foam Border|15x15cm|10x1"</f>
        <v>Kliniderm Foam Border|15x15cm|10x1</v>
      </c>
      <c r="C216" s="12" t="str">
        <f>"MDR Risikoklasse IIb"</f>
        <v>MDR Risikoklasse IIb</v>
      </c>
      <c r="D216" s="12" t="str">
        <f>"KT000099"</f>
        <v>KT000099</v>
      </c>
      <c r="E216" s="12" t="str">
        <f>"MEDIQ MEDECO"</f>
        <v>MEDIQ MEDECO</v>
      </c>
      <c r="F216" s="12" t="str">
        <f>"Brandpuntlaan Zuid 14"</f>
        <v>Brandpuntlaan Zuid 14</v>
      </c>
      <c r="G216" s="12" t="str">
        <f>"NL-2665 NZ"</f>
        <v>NL-2665 NZ</v>
      </c>
      <c r="H216" s="12" t="str">
        <f>"Bleiswijk"</f>
        <v>Bleiswijk</v>
      </c>
      <c r="I216" s="12" t="str">
        <f>"KT001216"</f>
        <v>KT001216</v>
      </c>
      <c r="J216" s="12" t="str">
        <f>"Mediq Suisse AG"</f>
        <v>Mediq Suisse AG</v>
      </c>
      <c r="K216" s="12" t="str">
        <f>"Rosengartenstrasse 25"</f>
        <v>Rosengartenstrasse 25</v>
      </c>
      <c r="L216" s="12" t="str">
        <f>"CH-8608"</f>
        <v>CH-8608</v>
      </c>
      <c r="M216" s="12" t="str">
        <f>"Bubikon"</f>
        <v>Bubikon</v>
      </c>
      <c r="N216" s="12" t="str">
        <f>"CHRN-AR-20001658"</f>
        <v>CHRN-AR-20001658</v>
      </c>
      <c r="O216" s="12" t="str">
        <f>"KT001216"</f>
        <v>KT001216</v>
      </c>
      <c r="P216" s="13" t="str">
        <f>"Mediq Suisse AG"</f>
        <v>Mediq Suisse AG</v>
      </c>
    </row>
    <row r="217" spans="1:16" x14ac:dyDescent="0.15">
      <c r="A217" s="11" t="str">
        <f>"4174820"</f>
        <v>4174820</v>
      </c>
      <c r="B217" s="12" t="str">
        <f>"Kliniderm Foam Heel|Ferse|5x1"</f>
        <v>Kliniderm Foam Heel|Ferse|5x1</v>
      </c>
      <c r="C217" s="12" t="str">
        <f>"MDR Risikoklasse IIb"</f>
        <v>MDR Risikoklasse IIb</v>
      </c>
      <c r="D217" s="12" t="str">
        <f>"KT000099"</f>
        <v>KT000099</v>
      </c>
      <c r="E217" s="12" t="str">
        <f>"MEDIQ MEDECO"</f>
        <v>MEDIQ MEDECO</v>
      </c>
      <c r="F217" s="12" t="str">
        <f>"Brandpuntlaan Zuid 14"</f>
        <v>Brandpuntlaan Zuid 14</v>
      </c>
      <c r="G217" s="12" t="str">
        <f>"NL-2665 NZ"</f>
        <v>NL-2665 NZ</v>
      </c>
      <c r="H217" s="12" t="str">
        <f>"Bleiswijk"</f>
        <v>Bleiswijk</v>
      </c>
      <c r="I217" s="12" t="str">
        <f>"KT001216"</f>
        <v>KT001216</v>
      </c>
      <c r="J217" s="12" t="str">
        <f>"Mediq Suisse AG"</f>
        <v>Mediq Suisse AG</v>
      </c>
      <c r="K217" s="12" t="str">
        <f>"Rosengartenstrasse 25"</f>
        <v>Rosengartenstrasse 25</v>
      </c>
      <c r="L217" s="12" t="str">
        <f>"CH-8608"</f>
        <v>CH-8608</v>
      </c>
      <c r="M217" s="12" t="str">
        <f>"Bubikon"</f>
        <v>Bubikon</v>
      </c>
      <c r="N217" s="12" t="str">
        <f>"CHRN-AR-20001658"</f>
        <v>CHRN-AR-20001658</v>
      </c>
      <c r="O217" s="12" t="str">
        <f>"KT001216"</f>
        <v>KT001216</v>
      </c>
      <c r="P217" s="13" t="str">
        <f>"Mediq Suisse AG"</f>
        <v>Mediq Suisse AG</v>
      </c>
    </row>
    <row r="218" spans="1:16" x14ac:dyDescent="0.15">
      <c r="A218" s="11" t="str">
        <f>"4175001"</f>
        <v>4175001</v>
      </c>
      <c r="B218" s="12" t="str">
        <f>"Klinipress Vlieskompr.|steril|4fach|5x5cm|100x1"</f>
        <v>Klinipress Vlieskompr.|steril|4fach|5x5cm|100x1</v>
      </c>
      <c r="C218" s="12" t="str">
        <f>"MDR Risikoklasse Is"</f>
        <v>MDR Risikoklasse Is</v>
      </c>
      <c r="D218" s="12" t="str">
        <f>"KT000099"</f>
        <v>KT000099</v>
      </c>
      <c r="E218" s="12" t="str">
        <f>"MEDIQ MEDECO"</f>
        <v>MEDIQ MEDECO</v>
      </c>
      <c r="F218" s="12" t="str">
        <f>"Brandpuntlaan Zuid 14"</f>
        <v>Brandpuntlaan Zuid 14</v>
      </c>
      <c r="G218" s="12" t="str">
        <f>"NL-2665 NZ"</f>
        <v>NL-2665 NZ</v>
      </c>
      <c r="H218" s="12" t="str">
        <f>"Bleiswijk"</f>
        <v>Bleiswijk</v>
      </c>
      <c r="I218" s="12" t="str">
        <f>"KT001216"</f>
        <v>KT001216</v>
      </c>
      <c r="J218" s="12" t="str">
        <f>"Mediq Suisse AG"</f>
        <v>Mediq Suisse AG</v>
      </c>
      <c r="K218" s="12" t="str">
        <f>"Rosengartenstrasse 25"</f>
        <v>Rosengartenstrasse 25</v>
      </c>
      <c r="L218" s="12" t="str">
        <f>"CH-8608"</f>
        <v>CH-8608</v>
      </c>
      <c r="M218" s="12" t="str">
        <f>"Bubikon"</f>
        <v>Bubikon</v>
      </c>
      <c r="N218" s="12" t="str">
        <f>"CHRN-AR-20001658"</f>
        <v>CHRN-AR-20001658</v>
      </c>
      <c r="O218" s="12" t="str">
        <f>"KT001216"</f>
        <v>KT001216</v>
      </c>
      <c r="P218" s="13" t="str">
        <f>"Mediq Suisse AG"</f>
        <v>Mediq Suisse AG</v>
      </c>
    </row>
    <row r="219" spans="1:16" x14ac:dyDescent="0.15">
      <c r="A219" s="11" t="str">
        <f>"4175002"</f>
        <v>4175002</v>
      </c>
      <c r="B219" s="12" t="str">
        <f>"Klinipress Vlieskompr.|steril|4fach| 5x5cm|50x2"</f>
        <v>Klinipress Vlieskompr.|steril|4fach| 5x5cm|50x2</v>
      </c>
      <c r="C219" s="12" t="str">
        <f>"MDR Risikoklasse Is"</f>
        <v>MDR Risikoklasse Is</v>
      </c>
      <c r="D219" s="12" t="str">
        <f>"KT000099"</f>
        <v>KT000099</v>
      </c>
      <c r="E219" s="12" t="str">
        <f>"MEDIQ MEDECO"</f>
        <v>MEDIQ MEDECO</v>
      </c>
      <c r="F219" s="12" t="str">
        <f>"Brandpuntlaan Zuid 14"</f>
        <v>Brandpuntlaan Zuid 14</v>
      </c>
      <c r="G219" s="12" t="str">
        <f>"NL-2665 NZ"</f>
        <v>NL-2665 NZ</v>
      </c>
      <c r="H219" s="12" t="str">
        <f>"Bleiswijk"</f>
        <v>Bleiswijk</v>
      </c>
      <c r="I219" s="12" t="str">
        <f>"KT001216"</f>
        <v>KT001216</v>
      </c>
      <c r="J219" s="12" t="str">
        <f>"Mediq Suisse AG"</f>
        <v>Mediq Suisse AG</v>
      </c>
      <c r="K219" s="12" t="str">
        <f>"Rosengartenstrasse 25"</f>
        <v>Rosengartenstrasse 25</v>
      </c>
      <c r="L219" s="12" t="str">
        <f>"CH-8608"</f>
        <v>CH-8608</v>
      </c>
      <c r="M219" s="12" t="str">
        <f>"Bubikon"</f>
        <v>Bubikon</v>
      </c>
      <c r="N219" s="12" t="str">
        <f>"CHRN-AR-20001658"</f>
        <v>CHRN-AR-20001658</v>
      </c>
      <c r="O219" s="12" t="str">
        <f>"KT001216"</f>
        <v>KT001216</v>
      </c>
      <c r="P219" s="13" t="str">
        <f>"Mediq Suisse AG"</f>
        <v>Mediq Suisse AG</v>
      </c>
    </row>
    <row r="220" spans="1:16" x14ac:dyDescent="0.15">
      <c r="A220" s="11" t="str">
        <f>"4175004"</f>
        <v>4175004</v>
      </c>
      <c r="B220" s="12" t="str">
        <f>"Klinipress Vlieskompr.|unsteril|4fach|5x5cm|100"</f>
        <v>Klinipress Vlieskompr.|unsteril|4fach|5x5cm|100</v>
      </c>
      <c r="C220" s="12" t="str">
        <f>"MDR Risikoklasse I"</f>
        <v>MDR Risikoklasse I</v>
      </c>
      <c r="D220" s="12" t="str">
        <f>"KT000099"</f>
        <v>KT000099</v>
      </c>
      <c r="E220" s="12" t="str">
        <f>"MEDIQ MEDECO"</f>
        <v>MEDIQ MEDECO</v>
      </c>
      <c r="F220" s="12" t="str">
        <f>"Brandpuntlaan Zuid 14"</f>
        <v>Brandpuntlaan Zuid 14</v>
      </c>
      <c r="G220" s="12" t="str">
        <f>"NL-2665 NZ"</f>
        <v>NL-2665 NZ</v>
      </c>
      <c r="H220" s="12" t="str">
        <f>"Bleiswijk"</f>
        <v>Bleiswijk</v>
      </c>
      <c r="I220" s="12" t="str">
        <f>"KT001216"</f>
        <v>KT001216</v>
      </c>
      <c r="J220" s="12" t="str">
        <f>"Mediq Suisse AG"</f>
        <v>Mediq Suisse AG</v>
      </c>
      <c r="K220" s="12" t="str">
        <f>"Rosengartenstrasse 25"</f>
        <v>Rosengartenstrasse 25</v>
      </c>
      <c r="L220" s="12" t="str">
        <f>"CH-8608"</f>
        <v>CH-8608</v>
      </c>
      <c r="M220" s="12" t="str">
        <f>"Bubikon"</f>
        <v>Bubikon</v>
      </c>
      <c r="N220" s="12" t="str">
        <f>"CHRN-AR-20001658"</f>
        <v>CHRN-AR-20001658</v>
      </c>
      <c r="O220" s="12" t="str">
        <f>"KT001216"</f>
        <v>KT001216</v>
      </c>
      <c r="P220" s="13" t="str">
        <f>"Mediq Suisse AG"</f>
        <v>Mediq Suisse AG</v>
      </c>
    </row>
    <row r="221" spans="1:16" x14ac:dyDescent="0.15">
      <c r="A221" s="11" t="str">
        <f>"4175024"</f>
        <v>4175024</v>
      </c>
      <c r="B221" s="12" t="str">
        <f>"Klinipress Vlieskomp.|unsteril|4fach|7.5x7.5cm|100"</f>
        <v>Klinipress Vlieskomp.|unsteril|4fach|7.5x7.5cm|100</v>
      </c>
      <c r="C221" s="12" t="str">
        <f>"MDR Risikoklasse I"</f>
        <v>MDR Risikoklasse I</v>
      </c>
      <c r="D221" s="12" t="str">
        <f>"KT000099"</f>
        <v>KT000099</v>
      </c>
      <c r="E221" s="12" t="str">
        <f>"MEDIQ MEDECO"</f>
        <v>MEDIQ MEDECO</v>
      </c>
      <c r="F221" s="12" t="str">
        <f>"Brandpuntlaan Zuid 14"</f>
        <v>Brandpuntlaan Zuid 14</v>
      </c>
      <c r="G221" s="12" t="str">
        <f>"NL-2665 NZ"</f>
        <v>NL-2665 NZ</v>
      </c>
      <c r="H221" s="12" t="str">
        <f>"Bleiswijk"</f>
        <v>Bleiswijk</v>
      </c>
      <c r="I221" s="12" t="str">
        <f>"KT001216"</f>
        <v>KT001216</v>
      </c>
      <c r="J221" s="12" t="str">
        <f>"Mediq Suisse AG"</f>
        <v>Mediq Suisse AG</v>
      </c>
      <c r="K221" s="12" t="str">
        <f>"Rosengartenstrasse 25"</f>
        <v>Rosengartenstrasse 25</v>
      </c>
      <c r="L221" s="12" t="str">
        <f>"CH-8608"</f>
        <v>CH-8608</v>
      </c>
      <c r="M221" s="12" t="str">
        <f>"Bubikon"</f>
        <v>Bubikon</v>
      </c>
      <c r="N221" s="12" t="str">
        <f>"CHRN-AR-20001658"</f>
        <v>CHRN-AR-20001658</v>
      </c>
      <c r="O221" s="12" t="str">
        <f>"KT001216"</f>
        <v>KT001216</v>
      </c>
      <c r="P221" s="13" t="str">
        <f>"Mediq Suisse AG"</f>
        <v>Mediq Suisse AG</v>
      </c>
    </row>
    <row r="222" spans="1:16" x14ac:dyDescent="0.15">
      <c r="A222" s="11" t="str">
        <f>"4175030"</f>
        <v>4175030</v>
      </c>
      <c r="B222" s="12" t="str">
        <f>"Klinipress Vlieskompr.|steril|4fach|10x10cm|100x1"</f>
        <v>Klinipress Vlieskompr.|steril|4fach|10x10cm|100x1</v>
      </c>
      <c r="C222" s="12" t="str">
        <f>"MDR Risikoklasse Is"</f>
        <v>MDR Risikoklasse Is</v>
      </c>
      <c r="D222" s="12" t="str">
        <f>"KT000099"</f>
        <v>KT000099</v>
      </c>
      <c r="E222" s="12" t="str">
        <f>"MEDIQ MEDECO"</f>
        <v>MEDIQ MEDECO</v>
      </c>
      <c r="F222" s="12" t="str">
        <f>"Brandpuntlaan Zuid 14"</f>
        <v>Brandpuntlaan Zuid 14</v>
      </c>
      <c r="G222" s="12" t="str">
        <f>"NL-2665 NZ"</f>
        <v>NL-2665 NZ</v>
      </c>
      <c r="H222" s="12" t="str">
        <f>"Bleiswijk"</f>
        <v>Bleiswijk</v>
      </c>
      <c r="I222" s="12" t="str">
        <f>"KT001216"</f>
        <v>KT001216</v>
      </c>
      <c r="J222" s="12" t="str">
        <f>"Mediq Suisse AG"</f>
        <v>Mediq Suisse AG</v>
      </c>
      <c r="K222" s="12" t="str">
        <f>"Rosengartenstrasse 25"</f>
        <v>Rosengartenstrasse 25</v>
      </c>
      <c r="L222" s="12" t="str">
        <f>"CH-8608"</f>
        <v>CH-8608</v>
      </c>
      <c r="M222" s="12" t="str">
        <f>"Bubikon"</f>
        <v>Bubikon</v>
      </c>
      <c r="N222" s="12" t="str">
        <f>"CHRN-AR-20001658"</f>
        <v>CHRN-AR-20001658</v>
      </c>
      <c r="O222" s="12" t="str">
        <f>"KT001216"</f>
        <v>KT001216</v>
      </c>
      <c r="P222" s="13" t="str">
        <f>"Mediq Suisse AG"</f>
        <v>Mediq Suisse AG</v>
      </c>
    </row>
    <row r="223" spans="1:16" x14ac:dyDescent="0.15">
      <c r="A223" s="11" t="str">
        <f>"4175031"</f>
        <v>4175031</v>
      </c>
      <c r="B223" s="12" t="str">
        <f>"Klinipress Vlieskompr.|steril|4fach|10x10cm|50x2"</f>
        <v>Klinipress Vlieskompr.|steril|4fach|10x10cm|50x2</v>
      </c>
      <c r="C223" s="12" t="str">
        <f>"MDR Risikoklasse Is"</f>
        <v>MDR Risikoklasse Is</v>
      </c>
      <c r="D223" s="12" t="str">
        <f>"KT000099"</f>
        <v>KT000099</v>
      </c>
      <c r="E223" s="12" t="str">
        <f>"MEDIQ MEDECO"</f>
        <v>MEDIQ MEDECO</v>
      </c>
      <c r="F223" s="12" t="str">
        <f>"Brandpuntlaan Zuid 14"</f>
        <v>Brandpuntlaan Zuid 14</v>
      </c>
      <c r="G223" s="12" t="str">
        <f>"NL-2665 NZ"</f>
        <v>NL-2665 NZ</v>
      </c>
      <c r="H223" s="12" t="str">
        <f>"Bleiswijk"</f>
        <v>Bleiswijk</v>
      </c>
      <c r="I223" s="12" t="str">
        <f>"KT001216"</f>
        <v>KT001216</v>
      </c>
      <c r="J223" s="12" t="str">
        <f>"Mediq Suisse AG"</f>
        <v>Mediq Suisse AG</v>
      </c>
      <c r="K223" s="12" t="str">
        <f>"Rosengartenstrasse 25"</f>
        <v>Rosengartenstrasse 25</v>
      </c>
      <c r="L223" s="12" t="str">
        <f>"CH-8608"</f>
        <v>CH-8608</v>
      </c>
      <c r="M223" s="12" t="str">
        <f>"Bubikon"</f>
        <v>Bubikon</v>
      </c>
      <c r="N223" s="12" t="str">
        <f>"CHRN-AR-20001658"</f>
        <v>CHRN-AR-20001658</v>
      </c>
      <c r="O223" s="12" t="str">
        <f>"KT001216"</f>
        <v>KT001216</v>
      </c>
      <c r="P223" s="13" t="str">
        <f>"Mediq Suisse AG"</f>
        <v>Mediq Suisse AG</v>
      </c>
    </row>
    <row r="224" spans="1:16" x14ac:dyDescent="0.15">
      <c r="A224" s="11" t="str">
        <f>"4175034"</f>
        <v>4175034</v>
      </c>
      <c r="B224" s="12" t="str">
        <f>"Klinipress Vlieskompr.|unsteril|4fach|10x10cm|100"</f>
        <v>Klinipress Vlieskompr.|unsteril|4fach|10x10cm|100</v>
      </c>
      <c r="C224" s="12" t="str">
        <f>"MDR Risikoklasse I"</f>
        <v>MDR Risikoklasse I</v>
      </c>
      <c r="D224" s="12" t="str">
        <f>"KT000099"</f>
        <v>KT000099</v>
      </c>
      <c r="E224" s="12" t="str">
        <f>"MEDIQ MEDECO"</f>
        <v>MEDIQ MEDECO</v>
      </c>
      <c r="F224" s="12" t="str">
        <f>"Brandpuntlaan Zuid 14"</f>
        <v>Brandpuntlaan Zuid 14</v>
      </c>
      <c r="G224" s="12" t="str">
        <f>"NL-2665 NZ"</f>
        <v>NL-2665 NZ</v>
      </c>
      <c r="H224" s="12" t="str">
        <f>"Bleiswijk"</f>
        <v>Bleiswijk</v>
      </c>
      <c r="I224" s="12" t="str">
        <f>"KT001216"</f>
        <v>KT001216</v>
      </c>
      <c r="J224" s="12" t="str">
        <f>"Mediq Suisse AG"</f>
        <v>Mediq Suisse AG</v>
      </c>
      <c r="K224" s="12" t="str">
        <f>"Rosengartenstrasse 25"</f>
        <v>Rosengartenstrasse 25</v>
      </c>
      <c r="L224" s="12" t="str">
        <f>"CH-8608"</f>
        <v>CH-8608</v>
      </c>
      <c r="M224" s="12" t="str">
        <f>"Bubikon"</f>
        <v>Bubikon</v>
      </c>
      <c r="N224" s="12" t="str">
        <f>"CHRN-AR-20001658"</f>
        <v>CHRN-AR-20001658</v>
      </c>
      <c r="O224" s="12" t="str">
        <f>"KT001216"</f>
        <v>KT001216</v>
      </c>
      <c r="P224" s="13" t="str">
        <f>"Mediq Suisse AG"</f>
        <v>Mediq Suisse AG</v>
      </c>
    </row>
    <row r="225" spans="1:16" x14ac:dyDescent="0.15">
      <c r="A225" s="11" t="str">
        <f>"4175040"</f>
        <v>4175040</v>
      </c>
      <c r="B225" s="12" t="str">
        <f>"Klinipress Vlieskompr.|steril|4fach|10x20cm|50x1"</f>
        <v>Klinipress Vlieskompr.|steril|4fach|10x20cm|50x1</v>
      </c>
      <c r="C225" s="12" t="str">
        <f>"MDR Risikoklasse Is"</f>
        <v>MDR Risikoklasse Is</v>
      </c>
      <c r="D225" s="12" t="str">
        <f>"KT000099"</f>
        <v>KT000099</v>
      </c>
      <c r="E225" s="12" t="str">
        <f>"MEDIQ MEDECO"</f>
        <v>MEDIQ MEDECO</v>
      </c>
      <c r="F225" s="12" t="str">
        <f>"Brandpuntlaan Zuid 14"</f>
        <v>Brandpuntlaan Zuid 14</v>
      </c>
      <c r="G225" s="12" t="str">
        <f>"NL-2665 NZ"</f>
        <v>NL-2665 NZ</v>
      </c>
      <c r="H225" s="12" t="str">
        <f>"Bleiswijk"</f>
        <v>Bleiswijk</v>
      </c>
      <c r="I225" s="12" t="str">
        <f>"KT001216"</f>
        <v>KT001216</v>
      </c>
      <c r="J225" s="12" t="str">
        <f>"Mediq Suisse AG"</f>
        <v>Mediq Suisse AG</v>
      </c>
      <c r="K225" s="12" t="str">
        <f>"Rosengartenstrasse 25"</f>
        <v>Rosengartenstrasse 25</v>
      </c>
      <c r="L225" s="12" t="str">
        <f>"CH-8608"</f>
        <v>CH-8608</v>
      </c>
      <c r="M225" s="12" t="str">
        <f>"Bubikon"</f>
        <v>Bubikon</v>
      </c>
      <c r="N225" s="12" t="str">
        <f>"CHRN-AR-20001658"</f>
        <v>CHRN-AR-20001658</v>
      </c>
      <c r="O225" s="12" t="str">
        <f>"KT001216"</f>
        <v>KT001216</v>
      </c>
      <c r="P225" s="13" t="str">
        <f>"Mediq Suisse AG"</f>
        <v>Mediq Suisse AG</v>
      </c>
    </row>
    <row r="226" spans="1:16" x14ac:dyDescent="0.15">
      <c r="A226" s="11" t="str">
        <f>"4175043"</f>
        <v>4175043</v>
      </c>
      <c r="B226" s="12" t="str">
        <f>"Klinipress Vlieskompr.|unsteril|4fach|10x20cm|100"</f>
        <v>Klinipress Vlieskompr.|unsteril|4fach|10x20cm|100</v>
      </c>
      <c r="C226" s="12" t="str">
        <f>"MDR Risikoklasse I"</f>
        <v>MDR Risikoklasse I</v>
      </c>
      <c r="D226" s="12" t="str">
        <f>"KT000099"</f>
        <v>KT000099</v>
      </c>
      <c r="E226" s="12" t="str">
        <f>"MEDIQ MEDECO"</f>
        <v>MEDIQ MEDECO</v>
      </c>
      <c r="F226" s="12" t="str">
        <f>"Brandpuntlaan Zuid 14"</f>
        <v>Brandpuntlaan Zuid 14</v>
      </c>
      <c r="G226" s="12" t="str">
        <f>"NL-2665 NZ"</f>
        <v>NL-2665 NZ</v>
      </c>
      <c r="H226" s="12" t="str">
        <f>"Bleiswijk"</f>
        <v>Bleiswijk</v>
      </c>
      <c r="I226" s="12" t="str">
        <f>"KT001216"</f>
        <v>KT001216</v>
      </c>
      <c r="J226" s="12" t="str">
        <f>"Mediq Suisse AG"</f>
        <v>Mediq Suisse AG</v>
      </c>
      <c r="K226" s="12" t="str">
        <f>"Rosengartenstrasse 25"</f>
        <v>Rosengartenstrasse 25</v>
      </c>
      <c r="L226" s="12" t="str">
        <f>"CH-8608"</f>
        <v>CH-8608</v>
      </c>
      <c r="M226" s="12" t="str">
        <f>"Bubikon"</f>
        <v>Bubikon</v>
      </c>
      <c r="N226" s="12" t="str">
        <f>"CHRN-AR-20001658"</f>
        <v>CHRN-AR-20001658</v>
      </c>
      <c r="O226" s="12" t="str">
        <f>"KT001216"</f>
        <v>KT001216</v>
      </c>
      <c r="P226" s="13" t="str">
        <f>"Mediq Suisse AG"</f>
        <v>Mediq Suisse AG</v>
      </c>
    </row>
    <row r="227" spans="1:16" x14ac:dyDescent="0.15">
      <c r="A227" s="11" t="str">
        <f>"4175050"</f>
        <v>4175050</v>
      </c>
      <c r="B227" s="12" t="str">
        <f>"Klinipress Schlitzkompr. Vlies|steril|5x5cm|50x2"</f>
        <v>Klinipress Schlitzkompr. Vlies|steril|5x5cm|50x2</v>
      </c>
      <c r="C227" s="12" t="str">
        <f>"MDR Risikoklasse Is"</f>
        <v>MDR Risikoklasse Is</v>
      </c>
      <c r="D227" s="12" t="str">
        <f>"KT000099"</f>
        <v>KT000099</v>
      </c>
      <c r="E227" s="12" t="str">
        <f>"MEDIQ MEDECO"</f>
        <v>MEDIQ MEDECO</v>
      </c>
      <c r="F227" s="12" t="str">
        <f>"Brandpuntlaan Zuid 14"</f>
        <v>Brandpuntlaan Zuid 14</v>
      </c>
      <c r="G227" s="12" t="str">
        <f>"NL-2665 NZ"</f>
        <v>NL-2665 NZ</v>
      </c>
      <c r="H227" s="12" t="str">
        <f>"Bleiswijk"</f>
        <v>Bleiswijk</v>
      </c>
      <c r="I227" s="12" t="str">
        <f>"KT001216"</f>
        <v>KT001216</v>
      </c>
      <c r="J227" s="12" t="str">
        <f>"Mediq Suisse AG"</f>
        <v>Mediq Suisse AG</v>
      </c>
      <c r="K227" s="12" t="str">
        <f>"Rosengartenstrasse 25"</f>
        <v>Rosengartenstrasse 25</v>
      </c>
      <c r="L227" s="12" t="str">
        <f>"CH-8608"</f>
        <v>CH-8608</v>
      </c>
      <c r="M227" s="12" t="str">
        <f>"Bubikon"</f>
        <v>Bubikon</v>
      </c>
      <c r="N227" s="12" t="str">
        <f>"CHRN-AR-20001658"</f>
        <v>CHRN-AR-20001658</v>
      </c>
      <c r="O227" s="12" t="str">
        <f>"KT001216"</f>
        <v>KT001216</v>
      </c>
      <c r="P227" s="13" t="str">
        <f>"Mediq Suisse AG"</f>
        <v>Mediq Suisse AG</v>
      </c>
    </row>
    <row r="228" spans="1:16" x14ac:dyDescent="0.15">
      <c r="A228" s="11" t="str">
        <f>"4175051"</f>
        <v>4175051</v>
      </c>
      <c r="B228" s="12" t="str">
        <f>"Klinipress Schlitzkompr. Vlies|steril|10x10cm|50x2"</f>
        <v>Klinipress Schlitzkompr. Vlies|steril|10x10cm|50x2</v>
      </c>
      <c r="C228" s="12" t="str">
        <f>"MDR Risikoklasse Is"</f>
        <v>MDR Risikoklasse Is</v>
      </c>
      <c r="D228" s="12" t="str">
        <f>"KT000099"</f>
        <v>KT000099</v>
      </c>
      <c r="E228" s="12" t="str">
        <f>"MEDIQ MEDECO"</f>
        <v>MEDIQ MEDECO</v>
      </c>
      <c r="F228" s="12" t="str">
        <f>"Brandpuntlaan Zuid 14"</f>
        <v>Brandpuntlaan Zuid 14</v>
      </c>
      <c r="G228" s="12" t="str">
        <f>"NL-2665 NZ"</f>
        <v>NL-2665 NZ</v>
      </c>
      <c r="H228" s="12" t="str">
        <f>"Bleiswijk"</f>
        <v>Bleiswijk</v>
      </c>
      <c r="I228" s="12" t="str">
        <f>"KT001216"</f>
        <v>KT001216</v>
      </c>
      <c r="J228" s="12" t="str">
        <f>"Mediq Suisse AG"</f>
        <v>Mediq Suisse AG</v>
      </c>
      <c r="K228" s="12" t="str">
        <f>"Rosengartenstrasse 25"</f>
        <v>Rosengartenstrasse 25</v>
      </c>
      <c r="L228" s="12" t="str">
        <f>"CH-8608"</f>
        <v>CH-8608</v>
      </c>
      <c r="M228" s="12" t="str">
        <f>"Bubikon"</f>
        <v>Bubikon</v>
      </c>
      <c r="N228" s="12" t="str">
        <f>"CHRN-AR-20001658"</f>
        <v>CHRN-AR-20001658</v>
      </c>
      <c r="O228" s="12" t="str">
        <f>"KT001216"</f>
        <v>KT001216</v>
      </c>
      <c r="P228" s="13" t="str">
        <f>"Mediq Suisse AG"</f>
        <v>Mediq Suisse AG</v>
      </c>
    </row>
    <row r="229" spans="1:16" x14ac:dyDescent="0.15">
      <c r="A229" s="11" t="str">
        <f>"4175060"</f>
        <v>4175060</v>
      </c>
      <c r="B229" s="12" t="str">
        <f>"Klinipress Novopad|steril|5x5cm|100x1"</f>
        <v>Klinipress Novopad|steril|5x5cm|100x1</v>
      </c>
      <c r="C229" s="12" t="str">
        <f>"MDR Risikoklasse Is"</f>
        <v>MDR Risikoklasse Is</v>
      </c>
      <c r="D229" s="12" t="str">
        <f>"KT000099"</f>
        <v>KT000099</v>
      </c>
      <c r="E229" s="12" t="str">
        <f>"MEDIQ MEDECO"</f>
        <v>MEDIQ MEDECO</v>
      </c>
      <c r="F229" s="12" t="str">
        <f>"Brandpuntlaan Zuid 14"</f>
        <v>Brandpuntlaan Zuid 14</v>
      </c>
      <c r="G229" s="12" t="str">
        <f>"NL-2665 NZ"</f>
        <v>NL-2665 NZ</v>
      </c>
      <c r="H229" s="12" t="str">
        <f>"Bleiswijk"</f>
        <v>Bleiswijk</v>
      </c>
      <c r="I229" s="12" t="str">
        <f>"KT001216"</f>
        <v>KT001216</v>
      </c>
      <c r="J229" s="12" t="str">
        <f>"Mediq Suisse AG"</f>
        <v>Mediq Suisse AG</v>
      </c>
      <c r="K229" s="12" t="str">
        <f>"Rosengartenstrasse 25"</f>
        <v>Rosengartenstrasse 25</v>
      </c>
      <c r="L229" s="12" t="str">
        <f>"CH-8608"</f>
        <v>CH-8608</v>
      </c>
      <c r="M229" s="12" t="str">
        <f>"Bubikon"</f>
        <v>Bubikon</v>
      </c>
      <c r="N229" s="12" t="str">
        <f>"CHRN-AR-20001658"</f>
        <v>CHRN-AR-20001658</v>
      </c>
      <c r="O229" s="12" t="str">
        <f>"KT001216"</f>
        <v>KT001216</v>
      </c>
      <c r="P229" s="13" t="str">
        <f>"Mediq Suisse AG"</f>
        <v>Mediq Suisse AG</v>
      </c>
    </row>
    <row r="230" spans="1:16" x14ac:dyDescent="0.15">
      <c r="A230" s="11" t="str">
        <f>"4175061"</f>
        <v>4175061</v>
      </c>
      <c r="B230" s="12" t="str">
        <f>"Klinipress Novopad|steril|10x10cm|100x1"</f>
        <v>Klinipress Novopad|steril|10x10cm|100x1</v>
      </c>
      <c r="C230" s="12" t="str">
        <f>"MDR Risikoklasse Is"</f>
        <v>MDR Risikoklasse Is</v>
      </c>
      <c r="D230" s="12" t="str">
        <f>"KT000099"</f>
        <v>KT000099</v>
      </c>
      <c r="E230" s="12" t="str">
        <f>"MEDIQ MEDECO"</f>
        <v>MEDIQ MEDECO</v>
      </c>
      <c r="F230" s="12" t="str">
        <f>"Brandpuntlaan Zuid 14"</f>
        <v>Brandpuntlaan Zuid 14</v>
      </c>
      <c r="G230" s="12" t="str">
        <f>"NL-2665 NZ"</f>
        <v>NL-2665 NZ</v>
      </c>
      <c r="H230" s="12" t="str">
        <f>"Bleiswijk"</f>
        <v>Bleiswijk</v>
      </c>
      <c r="I230" s="12" t="str">
        <f>"KT001216"</f>
        <v>KT001216</v>
      </c>
      <c r="J230" s="12" t="str">
        <f>"Mediq Suisse AG"</f>
        <v>Mediq Suisse AG</v>
      </c>
      <c r="K230" s="12" t="str">
        <f>"Rosengartenstrasse 25"</f>
        <v>Rosengartenstrasse 25</v>
      </c>
      <c r="L230" s="12" t="str">
        <f>"CH-8608"</f>
        <v>CH-8608</v>
      </c>
      <c r="M230" s="12" t="str">
        <f>"Bubikon"</f>
        <v>Bubikon</v>
      </c>
      <c r="N230" s="12" t="str">
        <f>"CHRN-AR-20001658"</f>
        <v>CHRN-AR-20001658</v>
      </c>
      <c r="O230" s="12" t="str">
        <f>"KT001216"</f>
        <v>KT001216</v>
      </c>
      <c r="P230" s="13" t="str">
        <f>"Mediq Suisse AG"</f>
        <v>Mediq Suisse AG</v>
      </c>
    </row>
    <row r="231" spans="1:16" x14ac:dyDescent="0.15">
      <c r="A231" s="11" t="str">
        <f>"4175101"</f>
        <v>4175101</v>
      </c>
      <c r="B231" s="12" t="str">
        <f>"Klinipress Vlieskompr.|steril|8fach|5x5cm|100x1"</f>
        <v>Klinipress Vlieskompr.|steril|8fach|5x5cm|100x1</v>
      </c>
      <c r="C231" s="12" t="str">
        <f>"MDR Risikoklasse Is"</f>
        <v>MDR Risikoklasse Is</v>
      </c>
      <c r="D231" s="12" t="str">
        <f>"KT000099"</f>
        <v>KT000099</v>
      </c>
      <c r="E231" s="12" t="str">
        <f>"MEDIQ MEDECO"</f>
        <v>MEDIQ MEDECO</v>
      </c>
      <c r="F231" s="12" t="str">
        <f>"Brandpuntlaan Zuid 14"</f>
        <v>Brandpuntlaan Zuid 14</v>
      </c>
      <c r="G231" s="12" t="str">
        <f>"NL-2665 NZ"</f>
        <v>NL-2665 NZ</v>
      </c>
      <c r="H231" s="12" t="str">
        <f>"Bleiswijk"</f>
        <v>Bleiswijk</v>
      </c>
      <c r="I231" s="12" t="str">
        <f>"KT001216"</f>
        <v>KT001216</v>
      </c>
      <c r="J231" s="12" t="str">
        <f>"Mediq Suisse AG"</f>
        <v>Mediq Suisse AG</v>
      </c>
      <c r="K231" s="12" t="str">
        <f>"Rosengartenstrasse 25"</f>
        <v>Rosengartenstrasse 25</v>
      </c>
      <c r="L231" s="12" t="str">
        <f>"CH-8608"</f>
        <v>CH-8608</v>
      </c>
      <c r="M231" s="12" t="str">
        <f>"Bubikon"</f>
        <v>Bubikon</v>
      </c>
      <c r="N231" s="12" t="str">
        <f>"CHRN-AR-20001658"</f>
        <v>CHRN-AR-20001658</v>
      </c>
      <c r="O231" s="12" t="str">
        <f>"KT001216"</f>
        <v>KT001216</v>
      </c>
      <c r="P231" s="13" t="str">
        <f>"Mediq Suisse AG"</f>
        <v>Mediq Suisse AG</v>
      </c>
    </row>
    <row r="232" spans="1:16" x14ac:dyDescent="0.15">
      <c r="A232" s="11" t="str">
        <f>"4175104"</f>
        <v>4175104</v>
      </c>
      <c r="B232" s="12" t="str">
        <f>"Klinipress Vlieskompr.|unsteril|8fach|5x5cm|100"</f>
        <v>Klinipress Vlieskompr.|unsteril|8fach|5x5cm|100</v>
      </c>
      <c r="C232" s="12" t="str">
        <f>"MDR Risikoklasse I"</f>
        <v>MDR Risikoklasse I</v>
      </c>
      <c r="D232" s="12" t="str">
        <f>"KT000099"</f>
        <v>KT000099</v>
      </c>
      <c r="E232" s="12" t="str">
        <f>"MEDIQ MEDECO"</f>
        <v>MEDIQ MEDECO</v>
      </c>
      <c r="F232" s="12" t="str">
        <f>"Brandpuntlaan Zuid 14"</f>
        <v>Brandpuntlaan Zuid 14</v>
      </c>
      <c r="G232" s="12" t="str">
        <f>"NL-2665 NZ"</f>
        <v>NL-2665 NZ</v>
      </c>
      <c r="H232" s="12" t="str">
        <f>"Bleiswijk"</f>
        <v>Bleiswijk</v>
      </c>
      <c r="I232" s="12" t="str">
        <f>"KT001216"</f>
        <v>KT001216</v>
      </c>
      <c r="J232" s="12" t="str">
        <f>"Mediq Suisse AG"</f>
        <v>Mediq Suisse AG</v>
      </c>
      <c r="K232" s="12" t="str">
        <f>"Rosengartenstrasse 25"</f>
        <v>Rosengartenstrasse 25</v>
      </c>
      <c r="L232" s="12" t="str">
        <f>"CH-8608"</f>
        <v>CH-8608</v>
      </c>
      <c r="M232" s="12" t="str">
        <f>"Bubikon"</f>
        <v>Bubikon</v>
      </c>
      <c r="N232" s="12" t="str">
        <f>"CHRN-AR-20001658"</f>
        <v>CHRN-AR-20001658</v>
      </c>
      <c r="O232" s="12" t="str">
        <f>"KT001216"</f>
        <v>KT001216</v>
      </c>
      <c r="P232" s="13" t="str">
        <f>"Mediq Suisse AG"</f>
        <v>Mediq Suisse AG</v>
      </c>
    </row>
    <row r="233" spans="1:16" x14ac:dyDescent="0.15">
      <c r="A233" s="11" t="str">
        <f>"4175130"</f>
        <v>4175130</v>
      </c>
      <c r="B233" s="12" t="str">
        <f>"Klinipress Vlieskompr.|steril|8fach|10x10cm|100x1"</f>
        <v>Klinipress Vlieskompr.|steril|8fach|10x10cm|100x1</v>
      </c>
      <c r="C233" s="12" t="str">
        <f>"MDR Risikoklasse Is"</f>
        <v>MDR Risikoklasse Is</v>
      </c>
      <c r="D233" s="12" t="str">
        <f>"KT000099"</f>
        <v>KT000099</v>
      </c>
      <c r="E233" s="12" t="str">
        <f>"MEDIQ MEDECO"</f>
        <v>MEDIQ MEDECO</v>
      </c>
      <c r="F233" s="12" t="str">
        <f>"Brandpuntlaan Zuid 14"</f>
        <v>Brandpuntlaan Zuid 14</v>
      </c>
      <c r="G233" s="12" t="str">
        <f>"NL-2665 NZ"</f>
        <v>NL-2665 NZ</v>
      </c>
      <c r="H233" s="12" t="str">
        <f>"Bleiswijk"</f>
        <v>Bleiswijk</v>
      </c>
      <c r="I233" s="12" t="str">
        <f>"KT001216"</f>
        <v>KT001216</v>
      </c>
      <c r="J233" s="12" t="str">
        <f>"Mediq Suisse AG"</f>
        <v>Mediq Suisse AG</v>
      </c>
      <c r="K233" s="12" t="str">
        <f>"Rosengartenstrasse 25"</f>
        <v>Rosengartenstrasse 25</v>
      </c>
      <c r="L233" s="12" t="str">
        <f>"CH-8608"</f>
        <v>CH-8608</v>
      </c>
      <c r="M233" s="12" t="str">
        <f>"Bubikon"</f>
        <v>Bubikon</v>
      </c>
      <c r="N233" s="12" t="str">
        <f>"CHRN-AR-20001658"</f>
        <v>CHRN-AR-20001658</v>
      </c>
      <c r="O233" s="12" t="str">
        <f>"KT001216"</f>
        <v>KT001216</v>
      </c>
      <c r="P233" s="13" t="str">
        <f>"Mediq Suisse AG"</f>
        <v>Mediq Suisse AG</v>
      </c>
    </row>
    <row r="234" spans="1:16" x14ac:dyDescent="0.15">
      <c r="A234" s="11" t="str">
        <f>"4175134"</f>
        <v>4175134</v>
      </c>
      <c r="B234" s="12" t="str">
        <f>"Klinipress Vlieskompr.|unsteril|8fach|10x10cm|100"</f>
        <v>Klinipress Vlieskompr.|unsteril|8fach|10x10cm|100</v>
      </c>
      <c r="C234" s="12" t="str">
        <f>"MDR Risikoklasse I"</f>
        <v>MDR Risikoklasse I</v>
      </c>
      <c r="D234" s="12" t="str">
        <f>"KT000099"</f>
        <v>KT000099</v>
      </c>
      <c r="E234" s="12" t="str">
        <f>"MEDIQ MEDECO"</f>
        <v>MEDIQ MEDECO</v>
      </c>
      <c r="F234" s="12" t="str">
        <f>"Brandpuntlaan Zuid 14"</f>
        <v>Brandpuntlaan Zuid 14</v>
      </c>
      <c r="G234" s="12" t="str">
        <f>"NL-2665 NZ"</f>
        <v>NL-2665 NZ</v>
      </c>
      <c r="H234" s="12" t="str">
        <f>"Bleiswijk"</f>
        <v>Bleiswijk</v>
      </c>
      <c r="I234" s="12" t="str">
        <f>"KT001216"</f>
        <v>KT001216</v>
      </c>
      <c r="J234" s="12" t="str">
        <f>"Mediq Suisse AG"</f>
        <v>Mediq Suisse AG</v>
      </c>
      <c r="K234" s="12" t="str">
        <f>"Rosengartenstrasse 25"</f>
        <v>Rosengartenstrasse 25</v>
      </c>
      <c r="L234" s="12" t="str">
        <f>"CH-8608"</f>
        <v>CH-8608</v>
      </c>
      <c r="M234" s="12" t="str">
        <f>"Bubikon"</f>
        <v>Bubikon</v>
      </c>
      <c r="N234" s="12" t="str">
        <f>"CHRN-AR-20001658"</f>
        <v>CHRN-AR-20001658</v>
      </c>
      <c r="O234" s="12" t="str">
        <f>"KT001216"</f>
        <v>KT001216</v>
      </c>
      <c r="P234" s="13" t="str">
        <f>"Mediq Suisse AG"</f>
        <v>Mediq Suisse AG</v>
      </c>
    </row>
    <row r="235" spans="1:16" x14ac:dyDescent="0.15">
      <c r="A235" s="11" t="str">
        <f>"4294101"</f>
        <v>4294101</v>
      </c>
      <c r="B235" s="12" t="str">
        <f>"Kliniplast Pflaster assortiert"</f>
        <v>Kliniplast Pflaster assortiert</v>
      </c>
      <c r="C235" s="12" t="str">
        <f>"MDR Risikoklasse I"</f>
        <v>MDR Risikoklasse I</v>
      </c>
      <c r="D235" s="12" t="str">
        <f>"KT000099"</f>
        <v>KT000099</v>
      </c>
      <c r="E235" s="12" t="str">
        <f>"MEDIQ MEDECO"</f>
        <v>MEDIQ MEDECO</v>
      </c>
      <c r="F235" s="12" t="str">
        <f>"Brandpuntlaan Zuid 14"</f>
        <v>Brandpuntlaan Zuid 14</v>
      </c>
      <c r="G235" s="12" t="str">
        <f>"NL-2665 NZ"</f>
        <v>NL-2665 NZ</v>
      </c>
      <c r="H235" s="12" t="str">
        <f>"Bleiswijk"</f>
        <v>Bleiswijk</v>
      </c>
      <c r="I235" s="12" t="str">
        <f>"KT001216"</f>
        <v>KT001216</v>
      </c>
      <c r="J235" s="12" t="str">
        <f>"Mediq Suisse AG"</f>
        <v>Mediq Suisse AG</v>
      </c>
      <c r="K235" s="12" t="str">
        <f>"Rosengartenstrasse 25"</f>
        <v>Rosengartenstrasse 25</v>
      </c>
      <c r="L235" s="12" t="str">
        <f>"CH-8608"</f>
        <v>CH-8608</v>
      </c>
      <c r="M235" s="12" t="str">
        <f>"Bubikon"</f>
        <v>Bubikon</v>
      </c>
      <c r="N235" s="12" t="str">
        <f>"CHRN-AR-20001658"</f>
        <v>CHRN-AR-20001658</v>
      </c>
      <c r="O235" s="12" t="str">
        <f>"KT001216"</f>
        <v>KT001216</v>
      </c>
      <c r="P235" s="13" t="str">
        <f>"Mediq Suisse AG"</f>
        <v>Mediq Suisse AG</v>
      </c>
    </row>
    <row r="236" spans="1:16" x14ac:dyDescent="0.15">
      <c r="A236" s="11" t="str">
        <f>"4294152"</f>
        <v>4294152</v>
      </c>
      <c r="B236" s="12" t="str">
        <f>"Kliniplast Vliesfixierpflaster|Dispenser9.1mx2.5cm"</f>
        <v>Kliniplast Vliesfixierpflaster|Dispenser9.1mx2.5cm</v>
      </c>
      <c r="C236" s="12" t="str">
        <f>"MDR Risikoklasse I"</f>
        <v>MDR Risikoklasse I</v>
      </c>
      <c r="D236" s="12" t="str">
        <f>"KT000099"</f>
        <v>KT000099</v>
      </c>
      <c r="E236" s="12" t="str">
        <f>"MEDIQ MEDECO"</f>
        <v>MEDIQ MEDECO</v>
      </c>
      <c r="F236" s="12" t="str">
        <f>"Brandpuntlaan Zuid 14"</f>
        <v>Brandpuntlaan Zuid 14</v>
      </c>
      <c r="G236" s="12" t="str">
        <f>"NL-2665 NZ"</f>
        <v>NL-2665 NZ</v>
      </c>
      <c r="H236" s="12" t="str">
        <f>"Bleiswijk"</f>
        <v>Bleiswijk</v>
      </c>
      <c r="I236" s="12" t="str">
        <f>"KT001216"</f>
        <v>KT001216</v>
      </c>
      <c r="J236" s="12" t="str">
        <f>"Mediq Suisse AG"</f>
        <v>Mediq Suisse AG</v>
      </c>
      <c r="K236" s="12" t="str">
        <f>"Rosengartenstrasse 25"</f>
        <v>Rosengartenstrasse 25</v>
      </c>
      <c r="L236" s="12" t="str">
        <f>"CH-8608"</f>
        <v>CH-8608</v>
      </c>
      <c r="M236" s="12" t="str">
        <f>"Bubikon"</f>
        <v>Bubikon</v>
      </c>
      <c r="N236" s="12" t="str">
        <f>"CHRN-AR-20001658"</f>
        <v>CHRN-AR-20001658</v>
      </c>
      <c r="O236" s="12" t="str">
        <f>"KT001216"</f>
        <v>KT001216</v>
      </c>
      <c r="P236" s="13" t="str">
        <f>"Mediq Suisse AG"</f>
        <v>Mediq Suisse AG</v>
      </c>
    </row>
    <row r="237" spans="1:16" x14ac:dyDescent="0.15">
      <c r="A237" s="11" t="str">
        <f>"4294155"</f>
        <v>4294155</v>
      </c>
      <c r="B237" s="12" t="str">
        <f>"Kliniplast Vliesfixierpflaster|o. Ring|9.1mx1.25cm"</f>
        <v>Kliniplast Vliesfixierpflaster|o. Ring|9.1mx1.25cm</v>
      </c>
      <c r="C237" s="12" t="str">
        <f>"MDR Risikoklasse I"</f>
        <v>MDR Risikoklasse I</v>
      </c>
      <c r="D237" s="12" t="str">
        <f>"KT000099"</f>
        <v>KT000099</v>
      </c>
      <c r="E237" s="12" t="str">
        <f>"MEDIQ MEDECO"</f>
        <v>MEDIQ MEDECO</v>
      </c>
      <c r="F237" s="12" t="str">
        <f>"Brandpuntlaan Zuid 14"</f>
        <v>Brandpuntlaan Zuid 14</v>
      </c>
      <c r="G237" s="12" t="str">
        <f>"NL-2665 NZ"</f>
        <v>NL-2665 NZ</v>
      </c>
      <c r="H237" s="12" t="str">
        <f>"Bleiswijk"</f>
        <v>Bleiswijk</v>
      </c>
      <c r="I237" s="12" t="str">
        <f>"KT001216"</f>
        <v>KT001216</v>
      </c>
      <c r="J237" s="12" t="str">
        <f>"Mediq Suisse AG"</f>
        <v>Mediq Suisse AG</v>
      </c>
      <c r="K237" s="12" t="str">
        <f>"Rosengartenstrasse 25"</f>
        <v>Rosengartenstrasse 25</v>
      </c>
      <c r="L237" s="12" t="str">
        <f>"CH-8608"</f>
        <v>CH-8608</v>
      </c>
      <c r="M237" s="12" t="str">
        <f>"Bubikon"</f>
        <v>Bubikon</v>
      </c>
      <c r="N237" s="12" t="str">
        <f>"CHRN-AR-20001658"</f>
        <v>CHRN-AR-20001658</v>
      </c>
      <c r="O237" s="12" t="str">
        <f>"KT001216"</f>
        <v>KT001216</v>
      </c>
      <c r="P237" s="13" t="str">
        <f>"Mediq Suisse AG"</f>
        <v>Mediq Suisse AG</v>
      </c>
    </row>
    <row r="238" spans="1:16" x14ac:dyDescent="0.15">
      <c r="A238" s="11" t="str">
        <f>"4294175"</f>
        <v>4294175</v>
      </c>
      <c r="B238" s="12" t="str">
        <f>"Kliniplast Vliesfixierpflaster|mit Ring|5mx1.25cm"</f>
        <v>Kliniplast Vliesfixierpflaster|mit Ring|5mx1.25cm</v>
      </c>
      <c r="C238" s="12" t="str">
        <f>"MDR Risikoklasse I"</f>
        <v>MDR Risikoklasse I</v>
      </c>
      <c r="D238" s="12" t="str">
        <f>"KT000099"</f>
        <v>KT000099</v>
      </c>
      <c r="E238" s="12" t="str">
        <f>"MEDIQ MEDECO"</f>
        <v>MEDIQ MEDECO</v>
      </c>
      <c r="F238" s="12" t="str">
        <f>"Brandpuntlaan Zuid 14"</f>
        <v>Brandpuntlaan Zuid 14</v>
      </c>
      <c r="G238" s="12" t="str">
        <f>"NL-2665 NZ"</f>
        <v>NL-2665 NZ</v>
      </c>
      <c r="H238" s="12" t="str">
        <f>"Bleiswijk"</f>
        <v>Bleiswijk</v>
      </c>
      <c r="I238" s="12" t="str">
        <f>"KT001216"</f>
        <v>KT001216</v>
      </c>
      <c r="J238" s="12" t="str">
        <f>"Mediq Suisse AG"</f>
        <v>Mediq Suisse AG</v>
      </c>
      <c r="K238" s="12" t="str">
        <f>"Rosengartenstrasse 25"</f>
        <v>Rosengartenstrasse 25</v>
      </c>
      <c r="L238" s="12" t="str">
        <f>"CH-8608"</f>
        <v>CH-8608</v>
      </c>
      <c r="M238" s="12" t="str">
        <f>"Bubikon"</f>
        <v>Bubikon</v>
      </c>
      <c r="N238" s="12" t="str">
        <f>"CHRN-AR-20001658"</f>
        <v>CHRN-AR-20001658</v>
      </c>
      <c r="O238" s="12" t="str">
        <f>"KT001216"</f>
        <v>KT001216</v>
      </c>
      <c r="P238" s="13" t="str">
        <f>"Mediq Suisse AG"</f>
        <v>Mediq Suisse AG</v>
      </c>
    </row>
    <row r="239" spans="1:16" x14ac:dyDescent="0.15">
      <c r="A239" s="11" t="str">
        <f>"4294176"</f>
        <v>4294176</v>
      </c>
      <c r="B239" s="12" t="str">
        <f>"Kliniplast Vliesfixierpflaster|mit Ring|5mx2.5cm"</f>
        <v>Kliniplast Vliesfixierpflaster|mit Ring|5mx2.5cm</v>
      </c>
      <c r="C239" s="12" t="str">
        <f>"MDR Risikoklasse I"</f>
        <v>MDR Risikoklasse I</v>
      </c>
      <c r="D239" s="12" t="str">
        <f>"KT000099"</f>
        <v>KT000099</v>
      </c>
      <c r="E239" s="12" t="str">
        <f>"MEDIQ MEDECO"</f>
        <v>MEDIQ MEDECO</v>
      </c>
      <c r="F239" s="12" t="str">
        <f>"Brandpuntlaan Zuid 14"</f>
        <v>Brandpuntlaan Zuid 14</v>
      </c>
      <c r="G239" s="12" t="str">
        <f>"NL-2665 NZ"</f>
        <v>NL-2665 NZ</v>
      </c>
      <c r="H239" s="12" t="str">
        <f>"Bleiswijk"</f>
        <v>Bleiswijk</v>
      </c>
      <c r="I239" s="12" t="str">
        <f>"KT001216"</f>
        <v>KT001216</v>
      </c>
      <c r="J239" s="12" t="str">
        <f>"Mediq Suisse AG"</f>
        <v>Mediq Suisse AG</v>
      </c>
      <c r="K239" s="12" t="str">
        <f>"Rosengartenstrasse 25"</f>
        <v>Rosengartenstrasse 25</v>
      </c>
      <c r="L239" s="12" t="str">
        <f>"CH-8608"</f>
        <v>CH-8608</v>
      </c>
      <c r="M239" s="12" t="str">
        <f>"Bubikon"</f>
        <v>Bubikon</v>
      </c>
      <c r="N239" s="12" t="str">
        <f>"CHRN-AR-20001658"</f>
        <v>CHRN-AR-20001658</v>
      </c>
      <c r="O239" s="12" t="str">
        <f>"KT001216"</f>
        <v>KT001216</v>
      </c>
      <c r="P239" s="13" t="str">
        <f>"Mediq Suisse AG"</f>
        <v>Mediq Suisse AG</v>
      </c>
    </row>
    <row r="240" spans="1:16" x14ac:dyDescent="0.15">
      <c r="A240" s="11" t="str">
        <f>"4294180"</f>
        <v>4294180</v>
      </c>
      <c r="B240" s="12" t="str">
        <f>"Kliniplast Silk Tape|mit Ring|5mx1.25cm"</f>
        <v>Kliniplast Silk Tape|mit Ring|5mx1.25cm</v>
      </c>
      <c r="C240" s="12" t="str">
        <f>"MDR Risikoklasse I"</f>
        <v>MDR Risikoklasse I</v>
      </c>
      <c r="D240" s="12" t="str">
        <f>"KT000099"</f>
        <v>KT000099</v>
      </c>
      <c r="E240" s="12" t="str">
        <f>"MEDIQ MEDECO"</f>
        <v>MEDIQ MEDECO</v>
      </c>
      <c r="F240" s="12" t="str">
        <f>"Brandpuntlaan Zuid 14"</f>
        <v>Brandpuntlaan Zuid 14</v>
      </c>
      <c r="G240" s="12" t="str">
        <f>"NL-2665 NZ"</f>
        <v>NL-2665 NZ</v>
      </c>
      <c r="H240" s="12" t="str">
        <f>"Bleiswijk"</f>
        <v>Bleiswijk</v>
      </c>
      <c r="I240" s="12" t="str">
        <f>"KT001216"</f>
        <v>KT001216</v>
      </c>
      <c r="J240" s="12" t="str">
        <f>"Mediq Suisse AG"</f>
        <v>Mediq Suisse AG</v>
      </c>
      <c r="K240" s="12" t="str">
        <f>"Rosengartenstrasse 25"</f>
        <v>Rosengartenstrasse 25</v>
      </c>
      <c r="L240" s="12" t="str">
        <f>"CH-8608"</f>
        <v>CH-8608</v>
      </c>
      <c r="M240" s="12" t="str">
        <f>"Bubikon"</f>
        <v>Bubikon</v>
      </c>
      <c r="N240" s="12" t="str">
        <f>"CHRN-AR-20001658"</f>
        <v>CHRN-AR-20001658</v>
      </c>
      <c r="O240" s="12" t="str">
        <f>"KT001216"</f>
        <v>KT001216</v>
      </c>
      <c r="P240" s="13" t="str">
        <f>"Mediq Suisse AG"</f>
        <v>Mediq Suisse AG</v>
      </c>
    </row>
    <row r="241" spans="1:16" x14ac:dyDescent="0.15">
      <c r="A241" s="11" t="str">
        <f>"4294181"</f>
        <v>4294181</v>
      </c>
      <c r="B241" s="12" t="str">
        <f>"Kliniplast Silk Tape|mit Ring|5mx2.5cm"</f>
        <v>Kliniplast Silk Tape|mit Ring|5mx2.5cm</v>
      </c>
      <c r="C241" s="12" t="str">
        <f>"MDR Risikoklasse I"</f>
        <v>MDR Risikoklasse I</v>
      </c>
      <c r="D241" s="12" t="str">
        <f>"KT000099"</f>
        <v>KT000099</v>
      </c>
      <c r="E241" s="12" t="str">
        <f>"MEDIQ MEDECO"</f>
        <v>MEDIQ MEDECO</v>
      </c>
      <c r="F241" s="12" t="str">
        <f>"Brandpuntlaan Zuid 14"</f>
        <v>Brandpuntlaan Zuid 14</v>
      </c>
      <c r="G241" s="12" t="str">
        <f>"NL-2665 NZ"</f>
        <v>NL-2665 NZ</v>
      </c>
      <c r="H241" s="12" t="str">
        <f>"Bleiswijk"</f>
        <v>Bleiswijk</v>
      </c>
      <c r="I241" s="12" t="str">
        <f>"KT001216"</f>
        <v>KT001216</v>
      </c>
      <c r="J241" s="12" t="str">
        <f>"Mediq Suisse AG"</f>
        <v>Mediq Suisse AG</v>
      </c>
      <c r="K241" s="12" t="str">
        <f>"Rosengartenstrasse 25"</f>
        <v>Rosengartenstrasse 25</v>
      </c>
      <c r="L241" s="12" t="str">
        <f>"CH-8608"</f>
        <v>CH-8608</v>
      </c>
      <c r="M241" s="12" t="str">
        <f>"Bubikon"</f>
        <v>Bubikon</v>
      </c>
      <c r="N241" s="12" t="str">
        <f>"CHRN-AR-20001658"</f>
        <v>CHRN-AR-20001658</v>
      </c>
      <c r="O241" s="12" t="str">
        <f>"KT001216"</f>
        <v>KT001216</v>
      </c>
      <c r="P241" s="13" t="str">
        <f>"Mediq Suisse AG"</f>
        <v>Mediq Suisse AG</v>
      </c>
    </row>
    <row r="242" spans="1:16" x14ac:dyDescent="0.15">
      <c r="A242" s="11" t="str">
        <f>"4294186"</f>
        <v>4294186</v>
      </c>
      <c r="B242" s="12" t="str">
        <f>"Kliniplast Silk Tape|ohne Ring|9.1mx2.5cm"</f>
        <v>Kliniplast Silk Tape|ohne Ring|9.1mx2.5cm</v>
      </c>
      <c r="C242" s="12" t="str">
        <f>"MDR Risikoklasse I"</f>
        <v>MDR Risikoklasse I</v>
      </c>
      <c r="D242" s="12" t="str">
        <f>"KT000099"</f>
        <v>KT000099</v>
      </c>
      <c r="E242" s="12" t="str">
        <f>"MEDIQ MEDECO"</f>
        <v>MEDIQ MEDECO</v>
      </c>
      <c r="F242" s="12" t="str">
        <f>"Brandpuntlaan Zuid 14"</f>
        <v>Brandpuntlaan Zuid 14</v>
      </c>
      <c r="G242" s="12" t="str">
        <f>"NL-2665 NZ"</f>
        <v>NL-2665 NZ</v>
      </c>
      <c r="H242" s="12" t="str">
        <f>"Bleiswijk"</f>
        <v>Bleiswijk</v>
      </c>
      <c r="I242" s="12" t="str">
        <f>"KT001216"</f>
        <v>KT001216</v>
      </c>
      <c r="J242" s="12" t="str">
        <f>"Mediq Suisse AG"</f>
        <v>Mediq Suisse AG</v>
      </c>
      <c r="K242" s="12" t="str">
        <f>"Rosengartenstrasse 25"</f>
        <v>Rosengartenstrasse 25</v>
      </c>
      <c r="L242" s="12" t="str">
        <f>"CH-8608"</f>
        <v>CH-8608</v>
      </c>
      <c r="M242" s="12" t="str">
        <f>"Bubikon"</f>
        <v>Bubikon</v>
      </c>
      <c r="N242" s="12" t="str">
        <f>"CHRN-AR-20001658"</f>
        <v>CHRN-AR-20001658</v>
      </c>
      <c r="O242" s="12" t="str">
        <f>"KT001216"</f>
        <v>KT001216</v>
      </c>
      <c r="P242" s="13" t="str">
        <f>"Mediq Suisse AG"</f>
        <v>Mediq Suisse AG</v>
      </c>
    </row>
    <row r="243" spans="1:16" x14ac:dyDescent="0.15">
      <c r="A243" s="11" t="str">
        <f>"4294191"</f>
        <v>4294191</v>
      </c>
      <c r="B243" s="12" t="str">
        <f>"Kliniplast Transparent Tape|mit Ring|5mx2.5cm"</f>
        <v>Kliniplast Transparent Tape|mit Ring|5mx2.5cm</v>
      </c>
      <c r="C243" s="12" t="str">
        <f>"MDR Risikoklasse I"</f>
        <v>MDR Risikoklasse I</v>
      </c>
      <c r="D243" s="12" t="str">
        <f>"KT000099"</f>
        <v>KT000099</v>
      </c>
      <c r="E243" s="12" t="str">
        <f>"MEDIQ MEDECO"</f>
        <v>MEDIQ MEDECO</v>
      </c>
      <c r="F243" s="12" t="str">
        <f>"Brandpuntlaan Zuid 14"</f>
        <v>Brandpuntlaan Zuid 14</v>
      </c>
      <c r="G243" s="12" t="str">
        <f>"NL-2665 NZ"</f>
        <v>NL-2665 NZ</v>
      </c>
      <c r="H243" s="12" t="str">
        <f>"Bleiswijk"</f>
        <v>Bleiswijk</v>
      </c>
      <c r="I243" s="12" t="str">
        <f>"KT001216"</f>
        <v>KT001216</v>
      </c>
      <c r="J243" s="12" t="str">
        <f>"Mediq Suisse AG"</f>
        <v>Mediq Suisse AG</v>
      </c>
      <c r="K243" s="12" t="str">
        <f>"Rosengartenstrasse 25"</f>
        <v>Rosengartenstrasse 25</v>
      </c>
      <c r="L243" s="12" t="str">
        <f>"CH-8608"</f>
        <v>CH-8608</v>
      </c>
      <c r="M243" s="12" t="str">
        <f>"Bubikon"</f>
        <v>Bubikon</v>
      </c>
      <c r="N243" s="12" t="str">
        <f>"CHRN-AR-20001658"</f>
        <v>CHRN-AR-20001658</v>
      </c>
      <c r="O243" s="12" t="str">
        <f>"KT001216"</f>
        <v>KT001216</v>
      </c>
      <c r="P243" s="13" t="str">
        <f>"Mediq Suisse AG"</f>
        <v>Mediq Suisse AG</v>
      </c>
    </row>
    <row r="244" spans="1:16" x14ac:dyDescent="0.15">
      <c r="A244" s="11" t="str">
        <f>"4294200"</f>
        <v>4294200</v>
      </c>
      <c r="B244" s="12" t="str">
        <f>"Kliniplast Border|Inselpflaster|steril|5x7cm"</f>
        <v>Kliniplast Border|Inselpflaster|steril|5x7cm</v>
      </c>
      <c r="C244" s="12" t="str">
        <f>"MDR Risikoklasse Is"</f>
        <v>MDR Risikoklasse Is</v>
      </c>
      <c r="D244" s="12" t="str">
        <f>"KT000099"</f>
        <v>KT000099</v>
      </c>
      <c r="E244" s="12" t="str">
        <f>"MEDIQ MEDECO"</f>
        <v>MEDIQ MEDECO</v>
      </c>
      <c r="F244" s="12" t="str">
        <f>"Brandpuntlaan Zuid 14"</f>
        <v>Brandpuntlaan Zuid 14</v>
      </c>
      <c r="G244" s="12" t="str">
        <f>"NL-2665 NZ"</f>
        <v>NL-2665 NZ</v>
      </c>
      <c r="H244" s="12" t="str">
        <f>"Bleiswijk"</f>
        <v>Bleiswijk</v>
      </c>
      <c r="I244" s="12" t="str">
        <f>"KT001216"</f>
        <v>KT001216</v>
      </c>
      <c r="J244" s="12" t="str">
        <f>"Mediq Suisse AG"</f>
        <v>Mediq Suisse AG</v>
      </c>
      <c r="K244" s="12" t="str">
        <f>"Rosengartenstrasse 25"</f>
        <v>Rosengartenstrasse 25</v>
      </c>
      <c r="L244" s="12" t="str">
        <f>"CH-8608"</f>
        <v>CH-8608</v>
      </c>
      <c r="M244" s="12" t="str">
        <f>"Bubikon"</f>
        <v>Bubikon</v>
      </c>
      <c r="N244" s="12" t="str">
        <f>"CHRN-AR-20001658"</f>
        <v>CHRN-AR-20001658</v>
      </c>
      <c r="O244" s="12" t="str">
        <f>"KT001216"</f>
        <v>KT001216</v>
      </c>
      <c r="P244" s="13" t="str">
        <f>"Mediq Suisse AG"</f>
        <v>Mediq Suisse AG</v>
      </c>
    </row>
    <row r="245" spans="1:16" x14ac:dyDescent="0.15">
      <c r="A245" s="11" t="str">
        <f>"4294201"</f>
        <v>4294201</v>
      </c>
      <c r="B245" s="12" t="str">
        <f>"Kliniplast Border|Inselpflaster|steril|8x10cm"</f>
        <v>Kliniplast Border|Inselpflaster|steril|8x10cm</v>
      </c>
      <c r="C245" s="12" t="str">
        <f>"MDR Risikoklasse Is"</f>
        <v>MDR Risikoklasse Is</v>
      </c>
      <c r="D245" s="12" t="str">
        <f>"KT000099"</f>
        <v>KT000099</v>
      </c>
      <c r="E245" s="12" t="str">
        <f>"MEDIQ MEDECO"</f>
        <v>MEDIQ MEDECO</v>
      </c>
      <c r="F245" s="12" t="str">
        <f>"Brandpuntlaan Zuid 14"</f>
        <v>Brandpuntlaan Zuid 14</v>
      </c>
      <c r="G245" s="12" t="str">
        <f>"NL-2665 NZ"</f>
        <v>NL-2665 NZ</v>
      </c>
      <c r="H245" s="12" t="str">
        <f>"Bleiswijk"</f>
        <v>Bleiswijk</v>
      </c>
      <c r="I245" s="12" t="str">
        <f>"KT001216"</f>
        <v>KT001216</v>
      </c>
      <c r="J245" s="12" t="str">
        <f>"Mediq Suisse AG"</f>
        <v>Mediq Suisse AG</v>
      </c>
      <c r="K245" s="12" t="str">
        <f>"Rosengartenstrasse 25"</f>
        <v>Rosengartenstrasse 25</v>
      </c>
      <c r="L245" s="12" t="str">
        <f>"CH-8608"</f>
        <v>CH-8608</v>
      </c>
      <c r="M245" s="12" t="str">
        <f>"Bubikon"</f>
        <v>Bubikon</v>
      </c>
      <c r="N245" s="12" t="str">
        <f>"CHRN-AR-20001658"</f>
        <v>CHRN-AR-20001658</v>
      </c>
      <c r="O245" s="12" t="str">
        <f>"KT001216"</f>
        <v>KT001216</v>
      </c>
      <c r="P245" s="13" t="str">
        <f>"Mediq Suisse AG"</f>
        <v>Mediq Suisse AG</v>
      </c>
    </row>
    <row r="246" spans="1:16" x14ac:dyDescent="0.15">
      <c r="A246" s="11" t="str">
        <f>"4294340"</f>
        <v>4294340</v>
      </c>
      <c r="B246" s="12" t="str">
        <f>"Kliniplast Fix|Fixierpflaster|10mx5cm"</f>
        <v>Kliniplast Fix|Fixierpflaster|10mx5cm</v>
      </c>
      <c r="C246" s="12" t="str">
        <f>"MDR Risikoklasse I"</f>
        <v>MDR Risikoklasse I</v>
      </c>
      <c r="D246" s="12" t="str">
        <f>"KT000099"</f>
        <v>KT000099</v>
      </c>
      <c r="E246" s="12" t="str">
        <f>"MEDIQ MEDECO"</f>
        <v>MEDIQ MEDECO</v>
      </c>
      <c r="F246" s="12" t="str">
        <f>"Brandpuntlaan Zuid 14"</f>
        <v>Brandpuntlaan Zuid 14</v>
      </c>
      <c r="G246" s="12" t="str">
        <f>"NL-2665 NZ"</f>
        <v>NL-2665 NZ</v>
      </c>
      <c r="H246" s="12" t="str">
        <f>"Bleiswijk"</f>
        <v>Bleiswijk</v>
      </c>
      <c r="I246" s="12" t="str">
        <f>"KT001216"</f>
        <v>KT001216</v>
      </c>
      <c r="J246" s="12" t="str">
        <f>"Mediq Suisse AG"</f>
        <v>Mediq Suisse AG</v>
      </c>
      <c r="K246" s="12" t="str">
        <f>"Rosengartenstrasse 25"</f>
        <v>Rosengartenstrasse 25</v>
      </c>
      <c r="L246" s="12" t="str">
        <f>"CH-8608"</f>
        <v>CH-8608</v>
      </c>
      <c r="M246" s="12" t="str">
        <f>"Bubikon"</f>
        <v>Bubikon</v>
      </c>
      <c r="N246" s="12" t="str">
        <f>"CHRN-AR-20001658"</f>
        <v>CHRN-AR-20001658</v>
      </c>
      <c r="O246" s="12" t="str">
        <f>"KT001216"</f>
        <v>KT001216</v>
      </c>
      <c r="P246" s="13" t="str">
        <f>"Mediq Suisse AG"</f>
        <v>Mediq Suisse AG</v>
      </c>
    </row>
    <row r="247" spans="1:16" x14ac:dyDescent="0.15">
      <c r="A247" s="11" t="str">
        <f>"4294342"</f>
        <v>4294342</v>
      </c>
      <c r="B247" s="12" t="str">
        <f>"Kliniplast Fix|Fixierpflaster|10mx10cm"</f>
        <v>Kliniplast Fix|Fixierpflaster|10mx10cm</v>
      </c>
      <c r="C247" s="12" t="str">
        <f>"MDR Risikoklasse I"</f>
        <v>MDR Risikoklasse I</v>
      </c>
      <c r="D247" s="12" t="str">
        <f>"KT000099"</f>
        <v>KT000099</v>
      </c>
      <c r="E247" s="12" t="str">
        <f>"MEDIQ MEDECO"</f>
        <v>MEDIQ MEDECO</v>
      </c>
      <c r="F247" s="12" t="str">
        <f>"Brandpuntlaan Zuid 14"</f>
        <v>Brandpuntlaan Zuid 14</v>
      </c>
      <c r="G247" s="12" t="str">
        <f>"NL-2665 NZ"</f>
        <v>NL-2665 NZ</v>
      </c>
      <c r="H247" s="12" t="str">
        <f>"Bleiswijk"</f>
        <v>Bleiswijk</v>
      </c>
      <c r="I247" s="12" t="str">
        <f>"KT001216"</f>
        <v>KT001216</v>
      </c>
      <c r="J247" s="12" t="str">
        <f>"Mediq Suisse AG"</f>
        <v>Mediq Suisse AG</v>
      </c>
      <c r="K247" s="12" t="str">
        <f>"Rosengartenstrasse 25"</f>
        <v>Rosengartenstrasse 25</v>
      </c>
      <c r="L247" s="12" t="str">
        <f>"CH-8608"</f>
        <v>CH-8608</v>
      </c>
      <c r="M247" s="12" t="str">
        <f>"Bubikon"</f>
        <v>Bubikon</v>
      </c>
      <c r="N247" s="12" t="str">
        <f>"CHRN-AR-20001658"</f>
        <v>CHRN-AR-20001658</v>
      </c>
      <c r="O247" s="12" t="str">
        <f>"KT001216"</f>
        <v>KT001216</v>
      </c>
      <c r="P247" s="13" t="str">
        <f>"Mediq Suisse AG"</f>
        <v>Mediq Suisse AG</v>
      </c>
    </row>
    <row r="248" spans="1:16" x14ac:dyDescent="0.15">
      <c r="A248" s="11" t="str">
        <f>"4294350"</f>
        <v>4294350</v>
      </c>
      <c r="B248" s="12" t="str">
        <f>"Kliniplast Universal|wasserresistent|5mx6cm"</f>
        <v>Kliniplast Universal|wasserresistent|5mx6cm</v>
      </c>
      <c r="C248" s="12" t="str">
        <f>"MDR Risikoklasse I"</f>
        <v>MDR Risikoklasse I</v>
      </c>
      <c r="D248" s="12" t="str">
        <f>"KT000099"</f>
        <v>KT000099</v>
      </c>
      <c r="E248" s="12" t="str">
        <f>"MEDIQ MEDECO"</f>
        <v>MEDIQ MEDECO</v>
      </c>
      <c r="F248" s="12" t="str">
        <f>"Brandpuntlaan Zuid 14"</f>
        <v>Brandpuntlaan Zuid 14</v>
      </c>
      <c r="G248" s="12" t="str">
        <f>"NL-2665 NZ"</f>
        <v>NL-2665 NZ</v>
      </c>
      <c r="H248" s="12" t="str">
        <f>"Bleiswijk"</f>
        <v>Bleiswijk</v>
      </c>
      <c r="I248" s="12" t="str">
        <f>"KT001216"</f>
        <v>KT001216</v>
      </c>
      <c r="J248" s="12" t="str">
        <f>"Mediq Suisse AG"</f>
        <v>Mediq Suisse AG</v>
      </c>
      <c r="K248" s="12" t="str">
        <f>"Rosengartenstrasse 25"</f>
        <v>Rosengartenstrasse 25</v>
      </c>
      <c r="L248" s="12" t="str">
        <f>"CH-8608"</f>
        <v>CH-8608</v>
      </c>
      <c r="M248" s="12" t="str">
        <f>"Bubikon"</f>
        <v>Bubikon</v>
      </c>
      <c r="N248" s="12" t="str">
        <f>"CHRN-AR-20001658"</f>
        <v>CHRN-AR-20001658</v>
      </c>
      <c r="O248" s="12" t="str">
        <f>"KT001216"</f>
        <v>KT001216</v>
      </c>
      <c r="P248" s="13" t="str">
        <f>"Mediq Suisse AG"</f>
        <v>Mediq Suisse AG</v>
      </c>
    </row>
    <row r="249" spans="1:16" x14ac:dyDescent="0.15">
      <c r="A249" s="11" t="str">
        <f>"4600.0"</f>
        <v>4600.0</v>
      </c>
      <c r="B249" s="12" t="str">
        <f>"Leggyfix|Beinbeutelhalter S|25-33cm|gelb"</f>
        <v>Leggyfix|Beinbeutelhalter S|25-33cm|gelb</v>
      </c>
      <c r="C249" s="12" t="str">
        <f>"MDR Risikoklasse I"</f>
        <v>MDR Risikoklasse I</v>
      </c>
      <c r="D249" s="12" t="str">
        <f>"KT005666"</f>
        <v>KT005666</v>
      </c>
      <c r="E249" s="12" t="str">
        <f>"Tytex A/S"</f>
        <v>Tytex A/S</v>
      </c>
      <c r="F249" s="12" t="str">
        <f>"Industrivej 21"</f>
        <v>Industrivej 21</v>
      </c>
      <c r="G249" s="12" t="str">
        <f>"DK-7430"</f>
        <v>DK-7430</v>
      </c>
      <c r="H249" s="12" t="str">
        <f>"Ikast"</f>
        <v>Ikast</v>
      </c>
      <c r="I249" s="12" t="str">
        <f>"KT005667"</f>
        <v>KT005667</v>
      </c>
      <c r="J249" s="12" t="str">
        <f>"Best Care Consulting GmbH"</f>
        <v>Best Care Consulting GmbH</v>
      </c>
      <c r="K249" s="12" t="str">
        <f>"Kehlhofrain 12a"</f>
        <v>Kehlhofrain 12a</v>
      </c>
      <c r="L249" s="12" t="str">
        <f>"CH-6043"</f>
        <v>CH-6043</v>
      </c>
      <c r="M249" s="12" t="str">
        <f>"Adligenswil"</f>
        <v>Adligenswil</v>
      </c>
      <c r="N249" s="12" t="str">
        <f>"CHRN-AR-20000865"</f>
        <v>CHRN-AR-20000865</v>
      </c>
      <c r="O249" s="12" t="str">
        <f>"KT001216"</f>
        <v>KT001216</v>
      </c>
      <c r="P249" s="13" t="str">
        <f>"Mediq Suisse AG"</f>
        <v>Mediq Suisse AG</v>
      </c>
    </row>
    <row r="250" spans="1:16" x14ac:dyDescent="0.15">
      <c r="A250" s="11" t="str">
        <f>"4605.0"</f>
        <v>4605.0</v>
      </c>
      <c r="B250" s="12" t="str">
        <f>"Leggyfix|Beinbeutelhalter S-Plus|33-40cm|rot"</f>
        <v>Leggyfix|Beinbeutelhalter S-Plus|33-40cm|rot</v>
      </c>
      <c r="C250" s="12" t="str">
        <f>"MDR Risikoklasse I"</f>
        <v>MDR Risikoklasse I</v>
      </c>
      <c r="D250" s="12" t="str">
        <f>"KT005666"</f>
        <v>KT005666</v>
      </c>
      <c r="E250" s="12" t="str">
        <f>"Tytex A/S"</f>
        <v>Tytex A/S</v>
      </c>
      <c r="F250" s="12" t="str">
        <f>"Industrivej 21"</f>
        <v>Industrivej 21</v>
      </c>
      <c r="G250" s="12" t="str">
        <f>"DK-7430"</f>
        <v>DK-7430</v>
      </c>
      <c r="H250" s="12" t="str">
        <f>"Ikast"</f>
        <v>Ikast</v>
      </c>
      <c r="I250" s="12" t="str">
        <f>"KT005667"</f>
        <v>KT005667</v>
      </c>
      <c r="J250" s="12" t="str">
        <f>"Best Care Consulting GmbH"</f>
        <v>Best Care Consulting GmbH</v>
      </c>
      <c r="K250" s="12" t="str">
        <f>"Kehlhofrain 12a"</f>
        <v>Kehlhofrain 12a</v>
      </c>
      <c r="L250" s="12" t="str">
        <f>"CH-6043"</f>
        <v>CH-6043</v>
      </c>
      <c r="M250" s="12" t="str">
        <f>"Adligenswil"</f>
        <v>Adligenswil</v>
      </c>
      <c r="N250" s="12" t="str">
        <f>"CHRN-AR-20000865"</f>
        <v>CHRN-AR-20000865</v>
      </c>
      <c r="O250" s="12" t="str">
        <f>"KT001216"</f>
        <v>KT001216</v>
      </c>
      <c r="P250" s="13" t="str">
        <f>"Mediq Suisse AG"</f>
        <v>Mediq Suisse AG</v>
      </c>
    </row>
    <row r="251" spans="1:16" x14ac:dyDescent="0.15">
      <c r="A251" s="11" t="str">
        <f>"4610.0"</f>
        <v>4610.0</v>
      </c>
      <c r="B251" s="12" t="str">
        <f>"Leggyfix| Beinbeutelhalter Medium|40-50cm|blau"</f>
        <v>Leggyfix| Beinbeutelhalter Medium|40-50cm|blau</v>
      </c>
      <c r="C251" s="12" t="str">
        <f>"MDR Risikoklasse I"</f>
        <v>MDR Risikoklasse I</v>
      </c>
      <c r="D251" s="12" t="str">
        <f>"KT005666"</f>
        <v>KT005666</v>
      </c>
      <c r="E251" s="12" t="str">
        <f>"Tytex A/S"</f>
        <v>Tytex A/S</v>
      </c>
      <c r="F251" s="12" t="str">
        <f>"Industrivej 21"</f>
        <v>Industrivej 21</v>
      </c>
      <c r="G251" s="12" t="str">
        <f>"DK-7430"</f>
        <v>DK-7430</v>
      </c>
      <c r="H251" s="12" t="str">
        <f>"Ikast"</f>
        <v>Ikast</v>
      </c>
      <c r="I251" s="12" t="str">
        <f>"KT005667"</f>
        <v>KT005667</v>
      </c>
      <c r="J251" s="12" t="str">
        <f>"Best Care Consulting GmbH"</f>
        <v>Best Care Consulting GmbH</v>
      </c>
      <c r="K251" s="12" t="str">
        <f>"Kehlhofrain 12a"</f>
        <v>Kehlhofrain 12a</v>
      </c>
      <c r="L251" s="12" t="str">
        <f>"CH-6043"</f>
        <v>CH-6043</v>
      </c>
      <c r="M251" s="12" t="str">
        <f>"Adligenswil"</f>
        <v>Adligenswil</v>
      </c>
      <c r="N251" s="12" t="str">
        <f>"CHRN-AR-20000865"</f>
        <v>CHRN-AR-20000865</v>
      </c>
      <c r="O251" s="12" t="str">
        <f>"KT001216"</f>
        <v>KT001216</v>
      </c>
      <c r="P251" s="13" t="str">
        <f>"Mediq Suisse AG"</f>
        <v>Mediq Suisse AG</v>
      </c>
    </row>
    <row r="252" spans="1:16" x14ac:dyDescent="0.15">
      <c r="A252" s="11" t="str">
        <f>"4620.0"</f>
        <v>4620.0</v>
      </c>
      <c r="B252" s="12" t="str">
        <f>"Leggyfix|Beinbeutelhalter Large|50-60cm|braun"</f>
        <v>Leggyfix|Beinbeutelhalter Large|50-60cm|braun</v>
      </c>
      <c r="C252" s="12" t="str">
        <f>"MDR Risikoklasse I"</f>
        <v>MDR Risikoklasse I</v>
      </c>
      <c r="D252" s="12" t="str">
        <f>"KT005666"</f>
        <v>KT005666</v>
      </c>
      <c r="E252" s="12" t="str">
        <f>"Tytex A/S"</f>
        <v>Tytex A/S</v>
      </c>
      <c r="F252" s="12" t="str">
        <f>"Industrivej 21"</f>
        <v>Industrivej 21</v>
      </c>
      <c r="G252" s="12" t="str">
        <f>"DK-7430"</f>
        <v>DK-7430</v>
      </c>
      <c r="H252" s="12" t="str">
        <f>"Ikast"</f>
        <v>Ikast</v>
      </c>
      <c r="I252" s="12" t="str">
        <f>"KT005667"</f>
        <v>KT005667</v>
      </c>
      <c r="J252" s="12" t="str">
        <f>"Best Care Consulting GmbH"</f>
        <v>Best Care Consulting GmbH</v>
      </c>
      <c r="K252" s="12" t="str">
        <f>"Kehlhofrain 12a"</f>
        <v>Kehlhofrain 12a</v>
      </c>
      <c r="L252" s="12" t="str">
        <f>"CH-6043"</f>
        <v>CH-6043</v>
      </c>
      <c r="M252" s="12" t="str">
        <f>"Adligenswil"</f>
        <v>Adligenswil</v>
      </c>
      <c r="N252" s="12" t="str">
        <f>"CHRN-AR-20000865"</f>
        <v>CHRN-AR-20000865</v>
      </c>
      <c r="O252" s="12" t="str">
        <f>"KT001216"</f>
        <v>KT001216</v>
      </c>
      <c r="P252" s="13" t="str">
        <f>"Mediq Suisse AG"</f>
        <v>Mediq Suisse AG</v>
      </c>
    </row>
    <row r="253" spans="1:16" x14ac:dyDescent="0.15">
      <c r="A253" s="11" t="str">
        <f>"4630.0"</f>
        <v>4630.0</v>
      </c>
      <c r="B253" s="12" t="str">
        <f>"Leggyfix|Beinbeutelhalter XL|60-70cm|grün"</f>
        <v>Leggyfix|Beinbeutelhalter XL|60-70cm|grün</v>
      </c>
      <c r="C253" s="12" t="str">
        <f>"MDR Risikoklasse I"</f>
        <v>MDR Risikoklasse I</v>
      </c>
      <c r="D253" s="12" t="str">
        <f>"KT005666"</f>
        <v>KT005666</v>
      </c>
      <c r="E253" s="12" t="str">
        <f>"Tytex A/S"</f>
        <v>Tytex A/S</v>
      </c>
      <c r="F253" s="12" t="str">
        <f>"Industrivej 21"</f>
        <v>Industrivej 21</v>
      </c>
      <c r="G253" s="12" t="str">
        <f>"DK-7430"</f>
        <v>DK-7430</v>
      </c>
      <c r="H253" s="12" t="str">
        <f>"Ikast"</f>
        <v>Ikast</v>
      </c>
      <c r="I253" s="12" t="str">
        <f>"KT005667"</f>
        <v>KT005667</v>
      </c>
      <c r="J253" s="12" t="str">
        <f>"Best Care Consulting GmbH"</f>
        <v>Best Care Consulting GmbH</v>
      </c>
      <c r="K253" s="12" t="str">
        <f>"Kehlhofrain 12a"</f>
        <v>Kehlhofrain 12a</v>
      </c>
      <c r="L253" s="12" t="str">
        <f>"CH-6043"</f>
        <v>CH-6043</v>
      </c>
      <c r="M253" s="12" t="str">
        <f>"Adligenswil"</f>
        <v>Adligenswil</v>
      </c>
      <c r="N253" s="12" t="str">
        <f>"CHRN-AR-20000865"</f>
        <v>CHRN-AR-20000865</v>
      </c>
      <c r="O253" s="12" t="str">
        <f>"KT001216"</f>
        <v>KT001216</v>
      </c>
      <c r="P253" s="13" t="str">
        <f>"Mediq Suisse AG"</f>
        <v>Mediq Suisse AG</v>
      </c>
    </row>
    <row r="254" spans="1:16" x14ac:dyDescent="0.15">
      <c r="A254" s="11" t="str">
        <f>"5060"</f>
        <v>5060</v>
      </c>
      <c r="B254" s="12" t="str">
        <f>"Klinion Soft Fine Plus 0,25 mm (31G)x6 mm"</f>
        <v>Klinion Soft Fine Plus 0,25 mm (31G)x6 mm</v>
      </c>
      <c r="C254" s="12" t="str">
        <f>"MDR Risikoklasse IIa"</f>
        <v>MDR Risikoklasse IIa</v>
      </c>
      <c r="D254" s="12" t="str">
        <f>"KT006438"</f>
        <v>KT006438</v>
      </c>
      <c r="E254" s="12" t="str">
        <f>"HTL-STREFA S.A."</f>
        <v>HTL-STREFA S.A.</v>
      </c>
      <c r="F254" s="12" t="str">
        <f>"Adamowek 7"</f>
        <v>Adamowek 7</v>
      </c>
      <c r="G254" s="12" t="str">
        <f>"PL-95-035"</f>
        <v>PL-95-035</v>
      </c>
      <c r="H254" s="12" t="str">
        <f>"Ozorkow"</f>
        <v>Ozorkow</v>
      </c>
      <c r="I254" s="12" t="str">
        <f>"KT005665"</f>
        <v>KT005665</v>
      </c>
      <c r="J254" s="12" t="str">
        <f>"MedEnvoy Switzerland"</f>
        <v>MedEnvoy Switzerland</v>
      </c>
      <c r="K254" s="12" t="str">
        <f>"Gotthardstrasse 28"</f>
        <v>Gotthardstrasse 28</v>
      </c>
      <c r="L254" s="12" t="str">
        <f>"CH-6302"</f>
        <v>CH-6302</v>
      </c>
      <c r="M254" s="12" t="str">
        <f>"Zug"</f>
        <v>Zug</v>
      </c>
      <c r="N254" s="12" t="str">
        <f>"CHRN-AR-20000310"</f>
        <v>CHRN-AR-20000310</v>
      </c>
      <c r="O254" s="12" t="str">
        <f>"KT001216"</f>
        <v>KT001216</v>
      </c>
      <c r="P254" s="13" t="str">
        <f>"Mediq Suisse AG"</f>
        <v>Mediq Suisse AG</v>
      </c>
    </row>
    <row r="255" spans="1:16" x14ac:dyDescent="0.15">
      <c r="A255" s="11" t="str">
        <f>"5061"</f>
        <v>5061</v>
      </c>
      <c r="B255" s="12" t="str">
        <f>"Klinion Soft Fine Plus 0,25 mm (31G)x8 mm"</f>
        <v>Klinion Soft Fine Plus 0,25 mm (31G)x8 mm</v>
      </c>
      <c r="C255" s="12" t="str">
        <f>"MDR Risikoklasse IIa"</f>
        <v>MDR Risikoklasse IIa</v>
      </c>
      <c r="D255" s="12" t="str">
        <f>"KT006438"</f>
        <v>KT006438</v>
      </c>
      <c r="E255" s="12" t="str">
        <f>"HTL-STREFA S.A."</f>
        <v>HTL-STREFA S.A.</v>
      </c>
      <c r="F255" s="12" t="str">
        <f>"Adamowek 7"</f>
        <v>Adamowek 7</v>
      </c>
      <c r="G255" s="12" t="str">
        <f>"PL-95-035"</f>
        <v>PL-95-035</v>
      </c>
      <c r="H255" s="12" t="str">
        <f>"Ozorkow"</f>
        <v>Ozorkow</v>
      </c>
      <c r="I255" s="12" t="str">
        <f>"KT005665"</f>
        <v>KT005665</v>
      </c>
      <c r="J255" s="12" t="str">
        <f>"MedEnvoy Switzerland"</f>
        <v>MedEnvoy Switzerland</v>
      </c>
      <c r="K255" s="12" t="str">
        <f>"Gotthardstrasse 28"</f>
        <v>Gotthardstrasse 28</v>
      </c>
      <c r="L255" s="12" t="str">
        <f>"CH-6302"</f>
        <v>CH-6302</v>
      </c>
      <c r="M255" s="12" t="str">
        <f>"Zug"</f>
        <v>Zug</v>
      </c>
      <c r="N255" s="12" t="str">
        <f>"CHRN-AR-20000310"</f>
        <v>CHRN-AR-20000310</v>
      </c>
      <c r="O255" s="12" t="str">
        <f>"KT001216"</f>
        <v>KT001216</v>
      </c>
      <c r="P255" s="13" t="str">
        <f>"Mediq Suisse AG"</f>
        <v>Mediq Suisse AG</v>
      </c>
    </row>
    <row r="256" spans="1:16" x14ac:dyDescent="0.15">
      <c r="A256" s="11" t="str">
        <f>"5063"</f>
        <v>5063</v>
      </c>
      <c r="B256" s="12" t="str">
        <f>"Klinion Soft Fine Plus 0,33 mm (29G)x12 mm"</f>
        <v>Klinion Soft Fine Plus 0,33 mm (29G)x12 mm</v>
      </c>
      <c r="C256" s="12" t="str">
        <f>"MDR Risikoklasse IIa"</f>
        <v>MDR Risikoklasse IIa</v>
      </c>
      <c r="D256" s="12" t="str">
        <f>"KT006438"</f>
        <v>KT006438</v>
      </c>
      <c r="E256" s="12" t="str">
        <f>"HTL-STREFA S.A."</f>
        <v>HTL-STREFA S.A.</v>
      </c>
      <c r="F256" s="12" t="str">
        <f>"Adamowek 7"</f>
        <v>Adamowek 7</v>
      </c>
      <c r="G256" s="12" t="str">
        <f>"PL-95-035"</f>
        <v>PL-95-035</v>
      </c>
      <c r="H256" s="12" t="str">
        <f>"Ozorkow"</f>
        <v>Ozorkow</v>
      </c>
      <c r="I256" s="12" t="str">
        <f>"KT005665"</f>
        <v>KT005665</v>
      </c>
      <c r="J256" s="12" t="str">
        <f>"MedEnvoy Switzerland"</f>
        <v>MedEnvoy Switzerland</v>
      </c>
      <c r="K256" s="12" t="str">
        <f>"Gotthardstrasse 28"</f>
        <v>Gotthardstrasse 28</v>
      </c>
      <c r="L256" s="12" t="str">
        <f>"CH-6302"</f>
        <v>CH-6302</v>
      </c>
      <c r="M256" s="12" t="str">
        <f>"Zug"</f>
        <v>Zug</v>
      </c>
      <c r="N256" s="12" t="str">
        <f>"CHRN-AR-20000310"</f>
        <v>CHRN-AR-20000310</v>
      </c>
      <c r="O256" s="12" t="str">
        <f>"KT001216"</f>
        <v>KT001216</v>
      </c>
      <c r="P256" s="13" t="str">
        <f>"Mediq Suisse AG"</f>
        <v>Mediq Suisse AG</v>
      </c>
    </row>
    <row r="257" spans="1:16" x14ac:dyDescent="0.15">
      <c r="A257" s="11" t="str">
        <f>"5064"</f>
        <v>5064</v>
      </c>
      <c r="B257" s="12" t="str">
        <f>"Klinion Soft Fine Plus 0.23 mm (32G)x5 mm"</f>
        <v>Klinion Soft Fine Plus 0.23 mm (32G)x5 mm</v>
      </c>
      <c r="C257" s="12" t="str">
        <f>"MDR Risikoklasse IIa"</f>
        <v>MDR Risikoklasse IIa</v>
      </c>
      <c r="D257" s="12" t="str">
        <f>"KT006438"</f>
        <v>KT006438</v>
      </c>
      <c r="E257" s="12" t="str">
        <f>"HTL-STREFA S.A."</f>
        <v>HTL-STREFA S.A.</v>
      </c>
      <c r="F257" s="12" t="str">
        <f>"Adamowek 7"</f>
        <v>Adamowek 7</v>
      </c>
      <c r="G257" s="12" t="str">
        <f>"PL-95-035"</f>
        <v>PL-95-035</v>
      </c>
      <c r="H257" s="12" t="str">
        <f>"Ozorkow"</f>
        <v>Ozorkow</v>
      </c>
      <c r="I257" s="12" t="str">
        <f>"KT005665"</f>
        <v>KT005665</v>
      </c>
      <c r="J257" s="12" t="str">
        <f>"MedEnvoy Switzerland"</f>
        <v>MedEnvoy Switzerland</v>
      </c>
      <c r="K257" s="12" t="str">
        <f>"Gotthardstrasse 28"</f>
        <v>Gotthardstrasse 28</v>
      </c>
      <c r="L257" s="12" t="str">
        <f>"CH-6302"</f>
        <v>CH-6302</v>
      </c>
      <c r="M257" s="12" t="str">
        <f>"Zug"</f>
        <v>Zug</v>
      </c>
      <c r="N257" s="12" t="str">
        <f>"CHRN-AR-20000310"</f>
        <v>CHRN-AR-20000310</v>
      </c>
      <c r="O257" s="12" t="str">
        <f>"KT001216"</f>
        <v>KT001216</v>
      </c>
      <c r="P257" s="13" t="str">
        <f>"Mediq Suisse AG"</f>
        <v>Mediq Suisse AG</v>
      </c>
    </row>
    <row r="258" spans="1:16" x14ac:dyDescent="0.15">
      <c r="A258" s="11" t="str">
        <f>"522720"</f>
        <v>522720</v>
      </c>
      <c r="B258" s="12" t="str">
        <f>"Klinion Gesichts-Maske mit Ohrschlaufe|blau"</f>
        <v>Klinion Gesichts-Maske mit Ohrschlaufe|blau</v>
      </c>
      <c r="C258" s="12" t="str">
        <f>"MDR Risikoklasse I"</f>
        <v>MDR Risikoklasse I</v>
      </c>
      <c r="D258" s="12" t="str">
        <f>"KT000099"</f>
        <v>KT000099</v>
      </c>
      <c r="E258" s="12" t="str">
        <f>"MEDIQ MEDECO"</f>
        <v>MEDIQ MEDECO</v>
      </c>
      <c r="F258" s="12" t="str">
        <f>"Brandpuntlaan Zuid 14"</f>
        <v>Brandpuntlaan Zuid 14</v>
      </c>
      <c r="G258" s="12" t="str">
        <f>"NL-2665 NZ"</f>
        <v>NL-2665 NZ</v>
      </c>
      <c r="H258" s="12" t="str">
        <f>"Bleiswijk"</f>
        <v>Bleiswijk</v>
      </c>
      <c r="I258" s="12" t="str">
        <f>"KT001216"</f>
        <v>KT001216</v>
      </c>
      <c r="J258" s="12" t="str">
        <f>"Mediq Suisse AG"</f>
        <v>Mediq Suisse AG</v>
      </c>
      <c r="K258" s="12" t="str">
        <f>"Rosengartenstrasse 25"</f>
        <v>Rosengartenstrasse 25</v>
      </c>
      <c r="L258" s="12" t="str">
        <f>"CH-8608"</f>
        <v>CH-8608</v>
      </c>
      <c r="M258" s="12" t="str">
        <f>"Bubikon"</f>
        <v>Bubikon</v>
      </c>
      <c r="N258" s="12" t="str">
        <f>"CHRN-AR-20001658"</f>
        <v>CHRN-AR-20001658</v>
      </c>
      <c r="O258" s="12" t="str">
        <f>"KT001216"</f>
        <v>KT001216</v>
      </c>
      <c r="P258" s="13" t="str">
        <f>"Mediq Suisse AG"</f>
        <v>Mediq Suisse AG</v>
      </c>
    </row>
    <row r="259" spans="1:16" x14ac:dyDescent="0.15">
      <c r="A259" s="11" t="str">
        <f>"5260"</f>
        <v>5260</v>
      </c>
      <c r="B259" s="12" t="str">
        <f>"Klinion Soft Fine Plus 0.25 mm (31G)x6 mm"</f>
        <v>Klinion Soft Fine Plus 0.25 mm (31G)x6 mm</v>
      </c>
      <c r="C259" s="12" t="str">
        <f>"MDR Risikoklasse IIa"</f>
        <v>MDR Risikoklasse IIa</v>
      </c>
      <c r="D259" s="12" t="str">
        <f>"KT010517"</f>
        <v>KT010517</v>
      </c>
      <c r="E259" s="12" t="str">
        <f>"Genray Hangzhou Life Technology Co., Ltd."</f>
        <v>Genray Hangzhou Life Technology Co., Ltd.</v>
      </c>
      <c r="F259" s="12" t="str">
        <f>"1155 Dayuan Road, Qingshanhu Street"</f>
        <v>1155 Dayuan Road, Qingshanhu Street</v>
      </c>
      <c r="G259" s="12" t="str">
        <f>"CN-311308"</f>
        <v>CN-311308</v>
      </c>
      <c r="H259" s="12" t="str">
        <f>" Hangzhou, Zhejiang"</f>
        <v xml:space="preserve"> Hangzhou, Zhejiang</v>
      </c>
      <c r="I259" s="12" t="str">
        <f>"KT010516"</f>
        <v>KT010516</v>
      </c>
      <c r="J259" s="12" t="str">
        <f>"OBELIS SWISS GmbH"</f>
        <v>OBELIS SWISS GmbH</v>
      </c>
      <c r="K259" s="12" t="str">
        <f>"Ruessebstrasse 12"</f>
        <v>Ruessebstrasse 12</v>
      </c>
      <c r="L259" s="12" t="str">
        <f>"CH-6340"</f>
        <v>CH-6340</v>
      </c>
      <c r="M259" s="12" t="str">
        <f>"Baar"</f>
        <v>Baar</v>
      </c>
      <c r="N259" s="12" t="str">
        <f>"CHRN-AR-20001698"</f>
        <v>CHRN-AR-20001698</v>
      </c>
      <c r="O259" s="12" t="str">
        <f>"KT001216"</f>
        <v>KT001216</v>
      </c>
      <c r="P259" s="13" t="str">
        <f>"Mediq Suisse AG"</f>
        <v>Mediq Suisse AG</v>
      </c>
    </row>
    <row r="260" spans="1:16" x14ac:dyDescent="0.15">
      <c r="A260" s="11" t="str">
        <f>"5261"</f>
        <v>5261</v>
      </c>
      <c r="B260" s="12" t="str">
        <f>"Klinion Soft Fine Plus 0.25 mm (31G)x8 mm"</f>
        <v>Klinion Soft Fine Plus 0.25 mm (31G)x8 mm</v>
      </c>
      <c r="C260" s="12" t="str">
        <f>"MDR Risikoklasse IIa"</f>
        <v>MDR Risikoklasse IIa</v>
      </c>
      <c r="D260" s="12" t="str">
        <f>"KT010517"</f>
        <v>KT010517</v>
      </c>
      <c r="E260" s="12" t="str">
        <f>"Genray Hangzhou Life Technology Co., Ltd."</f>
        <v>Genray Hangzhou Life Technology Co., Ltd.</v>
      </c>
      <c r="F260" s="12" t="str">
        <f>"1155 Dayuan Road, Qingshanhu Street"</f>
        <v>1155 Dayuan Road, Qingshanhu Street</v>
      </c>
      <c r="G260" s="12" t="str">
        <f>"CN-311308"</f>
        <v>CN-311308</v>
      </c>
      <c r="H260" s="12" t="str">
        <f>" Hangzhou, Zhejiang"</f>
        <v xml:space="preserve"> Hangzhou, Zhejiang</v>
      </c>
      <c r="I260" s="12" t="str">
        <f>"KT010516"</f>
        <v>KT010516</v>
      </c>
      <c r="J260" s="12" t="str">
        <f>"OBELIS SWISS GmbH"</f>
        <v>OBELIS SWISS GmbH</v>
      </c>
      <c r="K260" s="12" t="str">
        <f>"Ruessebstrasse 12"</f>
        <v>Ruessebstrasse 12</v>
      </c>
      <c r="L260" s="12" t="str">
        <f>"CH-6340"</f>
        <v>CH-6340</v>
      </c>
      <c r="M260" s="12" t="str">
        <f>"Baar"</f>
        <v>Baar</v>
      </c>
      <c r="N260" s="12" t="str">
        <f>"CHRN-AR-20001698"</f>
        <v>CHRN-AR-20001698</v>
      </c>
      <c r="O260" s="12" t="str">
        <f>"KT001216"</f>
        <v>KT001216</v>
      </c>
      <c r="P260" s="13" t="str">
        <f>"Mediq Suisse AG"</f>
        <v>Mediq Suisse AG</v>
      </c>
    </row>
    <row r="261" spans="1:16" x14ac:dyDescent="0.15">
      <c r="A261" s="11" t="str">
        <f>"5264"</f>
        <v>5264</v>
      </c>
      <c r="B261" s="12" t="str">
        <f>"Klinion Soft Fine Plus 0.23 mm (32G)x5 mm"</f>
        <v>Klinion Soft Fine Plus 0.23 mm (32G)x5 mm</v>
      </c>
      <c r="C261" s="12" t="str">
        <f>"MDR Risikoklasse IIa"</f>
        <v>MDR Risikoklasse IIa</v>
      </c>
      <c r="D261" s="12" t="str">
        <f>"KT010517"</f>
        <v>KT010517</v>
      </c>
      <c r="E261" s="12" t="str">
        <f>"Genray Hangzhou Life Technology Co., Ltd."</f>
        <v>Genray Hangzhou Life Technology Co., Ltd.</v>
      </c>
      <c r="F261" s="12" t="str">
        <f>"1155 Dayuan Road, Qingshanhu Street"</f>
        <v>1155 Dayuan Road, Qingshanhu Street</v>
      </c>
      <c r="G261" s="12" t="str">
        <f>"CN-311308"</f>
        <v>CN-311308</v>
      </c>
      <c r="H261" s="12" t="str">
        <f>" Hangzhou, Zhejiang"</f>
        <v xml:space="preserve"> Hangzhou, Zhejiang</v>
      </c>
      <c r="I261" s="12" t="str">
        <f>"KT010516"</f>
        <v>KT010516</v>
      </c>
      <c r="J261" s="12" t="str">
        <f>"OBELIS SWISS GmbH"</f>
        <v>OBELIS SWISS GmbH</v>
      </c>
      <c r="K261" s="12" t="str">
        <f>"Ruessebstrasse 12"</f>
        <v>Ruessebstrasse 12</v>
      </c>
      <c r="L261" s="12" t="str">
        <f>"CH-6340"</f>
        <v>CH-6340</v>
      </c>
      <c r="M261" s="12" t="str">
        <f>"Baar"</f>
        <v>Baar</v>
      </c>
      <c r="N261" s="12" t="str">
        <f>"CHRN-AR-20001698"</f>
        <v>CHRN-AR-20001698</v>
      </c>
      <c r="O261" s="12" t="str">
        <f>"KT001216"</f>
        <v>KT001216</v>
      </c>
      <c r="P261" s="13" t="str">
        <f>"Mediq Suisse AG"</f>
        <v>Mediq Suisse AG</v>
      </c>
    </row>
    <row r="262" spans="1:16" x14ac:dyDescent="0.15">
      <c r="A262" s="11" t="str">
        <f>"531100"</f>
        <v>531100</v>
      </c>
      <c r="B262" s="12" t="str">
        <f>"Einwegpinzetten|weiss|Kunststoff|steril"</f>
        <v>Einwegpinzetten|weiss|Kunststoff|steril</v>
      </c>
      <c r="C262" s="12" t="str">
        <f>"MDR Risikoklasse IIa"</f>
        <v>MDR Risikoklasse IIa</v>
      </c>
      <c r="D262" s="12" t="str">
        <f>"KT000099"</f>
        <v>KT000099</v>
      </c>
      <c r="E262" s="12" t="str">
        <f>"MEDIQ MEDECO"</f>
        <v>MEDIQ MEDECO</v>
      </c>
      <c r="F262" s="12" t="str">
        <f>"Brandpuntlaan Zuid 14"</f>
        <v>Brandpuntlaan Zuid 14</v>
      </c>
      <c r="G262" s="12" t="str">
        <f>"NL-2665 NZ"</f>
        <v>NL-2665 NZ</v>
      </c>
      <c r="H262" s="12" t="str">
        <f>"Bleiswijk"</f>
        <v>Bleiswijk</v>
      </c>
      <c r="I262" s="12" t="str">
        <f>"KT001216"</f>
        <v>KT001216</v>
      </c>
      <c r="J262" s="12" t="str">
        <f>"Mediq Suisse AG"</f>
        <v>Mediq Suisse AG</v>
      </c>
      <c r="K262" s="12" t="str">
        <f>"Rosengartenstrasse 25"</f>
        <v>Rosengartenstrasse 25</v>
      </c>
      <c r="L262" s="12" t="str">
        <f>"CH-8608"</f>
        <v>CH-8608</v>
      </c>
      <c r="M262" s="12" t="str">
        <f>"Bubikon"</f>
        <v>Bubikon</v>
      </c>
      <c r="N262" s="12" t="str">
        <f>"CHRN-AR-20001658"</f>
        <v>CHRN-AR-20001658</v>
      </c>
      <c r="O262" s="12" t="str">
        <f>"KT001216"</f>
        <v>KT001216</v>
      </c>
      <c r="P262" s="13" t="str">
        <f>"Mediq Suisse AG"</f>
        <v>Mediq Suisse AG</v>
      </c>
    </row>
    <row r="263" spans="1:16" x14ac:dyDescent="0.15">
      <c r="A263" s="11" t="str">
        <f>"531110"</f>
        <v>531110</v>
      </c>
      <c r="B263" s="12" t="str">
        <f>"Einwegpinzetten|weiss|Kunststoff|steril"</f>
        <v>Einwegpinzetten|weiss|Kunststoff|steril</v>
      </c>
      <c r="C263" s="12" t="str">
        <f>"MDR Risikoklasse IIa"</f>
        <v>MDR Risikoklasse IIa</v>
      </c>
      <c r="D263" s="12" t="str">
        <f>"KT000099"</f>
        <v>KT000099</v>
      </c>
      <c r="E263" s="12" t="str">
        <f>"MEDIQ MEDECO"</f>
        <v>MEDIQ MEDECO</v>
      </c>
      <c r="F263" s="12" t="str">
        <f>"Brandpuntlaan Zuid 14"</f>
        <v>Brandpuntlaan Zuid 14</v>
      </c>
      <c r="G263" s="12" t="str">
        <f>"NL-2665 NZ"</f>
        <v>NL-2665 NZ</v>
      </c>
      <c r="H263" s="12" t="str">
        <f>"Bleiswijk"</f>
        <v>Bleiswijk</v>
      </c>
      <c r="I263" s="12" t="str">
        <f>"KT001216"</f>
        <v>KT001216</v>
      </c>
      <c r="J263" s="12" t="str">
        <f>"Mediq Suisse AG"</f>
        <v>Mediq Suisse AG</v>
      </c>
      <c r="K263" s="12" t="str">
        <f>"Rosengartenstrasse 25"</f>
        <v>Rosengartenstrasse 25</v>
      </c>
      <c r="L263" s="12" t="str">
        <f>"CH-8608"</f>
        <v>CH-8608</v>
      </c>
      <c r="M263" s="12" t="str">
        <f>"Bubikon"</f>
        <v>Bubikon</v>
      </c>
      <c r="N263" s="12" t="str">
        <f>"CHRN-AR-20001658"</f>
        <v>CHRN-AR-20001658</v>
      </c>
      <c r="O263" s="12" t="str">
        <f>"KT001216"</f>
        <v>KT001216</v>
      </c>
      <c r="P263" s="13" t="str">
        <f>"Mediq Suisse AG"</f>
        <v>Mediq Suisse AG</v>
      </c>
    </row>
    <row r="264" spans="1:16" x14ac:dyDescent="0.15">
      <c r="A264" s="11" t="str">
        <f>"5839"</f>
        <v>5839</v>
      </c>
      <c r="B264" s="12" t="str">
        <f>"Klinion sterile Lanzetten multi colour  30G"</f>
        <v>Klinion sterile Lanzetten multi colour  30G</v>
      </c>
      <c r="C264" s="12" t="str">
        <f>"MDR Risikoklasse IIa"</f>
        <v>MDR Risikoklasse IIa</v>
      </c>
      <c r="D264" s="12" t="str">
        <f>"KT000099"</f>
        <v>KT000099</v>
      </c>
      <c r="E264" s="12" t="str">
        <f>"MEDIQ MEDECO"</f>
        <v>MEDIQ MEDECO</v>
      </c>
      <c r="F264" s="12" t="str">
        <f>"Brandpuntlaan Zuid 14"</f>
        <v>Brandpuntlaan Zuid 14</v>
      </c>
      <c r="G264" s="12" t="str">
        <f>"NL-2665 NZ"</f>
        <v>NL-2665 NZ</v>
      </c>
      <c r="H264" s="12" t="str">
        <f>"Bleiswijk"</f>
        <v>Bleiswijk</v>
      </c>
      <c r="I264" s="12" t="str">
        <f>"KT001216"</f>
        <v>KT001216</v>
      </c>
      <c r="J264" s="12" t="str">
        <f>"Mediq Suisse AG"</f>
        <v>Mediq Suisse AG</v>
      </c>
      <c r="K264" s="12" t="str">
        <f>"Rosengartenstrasse 25"</f>
        <v>Rosengartenstrasse 25</v>
      </c>
      <c r="L264" s="12" t="str">
        <f>"CH-8608"</f>
        <v>CH-8608</v>
      </c>
      <c r="M264" s="12" t="str">
        <f>"Bubikon"</f>
        <v>Bubikon</v>
      </c>
      <c r="N264" s="12" t="str">
        <f>"CHRN-AR-20001658"</f>
        <v>CHRN-AR-20001658</v>
      </c>
      <c r="O264" s="12" t="str">
        <f>"KT001216"</f>
        <v>KT001216</v>
      </c>
      <c r="P264" s="13" t="str">
        <f>"Mediq Suisse AG"</f>
        <v>Mediq Suisse AG</v>
      </c>
    </row>
    <row r="265" spans="1:16" x14ac:dyDescent="0.15">
      <c r="A265" s="11" t="str">
        <f>"5840"</f>
        <v>5840</v>
      </c>
      <c r="B265" s="12" t="str">
        <f>"Klinion Soft Fine Colour sterile Lanzetten 30G"</f>
        <v>Klinion Soft Fine Colour sterile Lanzetten 30G</v>
      </c>
      <c r="C265" s="12" t="str">
        <f>"MDR Risikoklasse IIa"</f>
        <v>MDR Risikoklasse IIa</v>
      </c>
      <c r="D265" s="12" t="str">
        <f>"KT006438"</f>
        <v>KT006438</v>
      </c>
      <c r="E265" s="12" t="str">
        <f>"HTL-STREFA S.A."</f>
        <v>HTL-STREFA S.A.</v>
      </c>
      <c r="F265" s="12" t="str">
        <f>"Adamowek 7"</f>
        <v>Adamowek 7</v>
      </c>
      <c r="G265" s="12" t="str">
        <f>"PL-95-035"</f>
        <v>PL-95-035</v>
      </c>
      <c r="H265" s="12" t="str">
        <f>"Ozorkow"</f>
        <v>Ozorkow</v>
      </c>
      <c r="I265" s="12" t="str">
        <f>"KT005665"</f>
        <v>KT005665</v>
      </c>
      <c r="J265" s="12" t="str">
        <f>"MedEnvoy Switzerland"</f>
        <v>MedEnvoy Switzerland</v>
      </c>
      <c r="K265" s="12" t="str">
        <f>"Gotthardstrasse 28"</f>
        <v>Gotthardstrasse 28</v>
      </c>
      <c r="L265" s="12" t="str">
        <f>"CH-6302"</f>
        <v>CH-6302</v>
      </c>
      <c r="M265" s="12" t="str">
        <f>"Zug"</f>
        <v>Zug</v>
      </c>
      <c r="N265" s="12" t="str">
        <f>"CHRN-AR-20000310"</f>
        <v>CHRN-AR-20000310</v>
      </c>
      <c r="O265" s="12" t="str">
        <f>"KT001216"</f>
        <v>KT001216</v>
      </c>
      <c r="P265" s="13" t="str">
        <f>"Mediq Suisse AG"</f>
        <v>Mediq Suisse AG</v>
      </c>
    </row>
    <row r="266" spans="1:16" x14ac:dyDescent="0.15">
      <c r="A266" s="11" t="str">
        <f>"5841"</f>
        <v>5841</v>
      </c>
      <c r="B266" s="12" t="str">
        <f>"Klinion Soft Fine Colour 28G"</f>
        <v>Klinion Soft Fine Colour 28G</v>
      </c>
      <c r="C266" s="12" t="str">
        <f>"MDR Risikoklasse IIa"</f>
        <v>MDR Risikoklasse IIa</v>
      </c>
      <c r="D266" s="12" t="str">
        <f>"KT006438"</f>
        <v>KT006438</v>
      </c>
      <c r="E266" s="12" t="str">
        <f>"HTL-STREFA S.A."</f>
        <v>HTL-STREFA S.A.</v>
      </c>
      <c r="F266" s="12" t="str">
        <f>"Adamowek 7"</f>
        <v>Adamowek 7</v>
      </c>
      <c r="G266" s="12" t="str">
        <f>"PL-95-035"</f>
        <v>PL-95-035</v>
      </c>
      <c r="H266" s="12" t="str">
        <f>"Ozorkow"</f>
        <v>Ozorkow</v>
      </c>
      <c r="I266" s="12" t="str">
        <f>"KT005665"</f>
        <v>KT005665</v>
      </c>
      <c r="J266" s="12" t="str">
        <f>"MedEnvoy Switzerland"</f>
        <v>MedEnvoy Switzerland</v>
      </c>
      <c r="K266" s="12" t="str">
        <f>"Gotthardstrasse 28"</f>
        <v>Gotthardstrasse 28</v>
      </c>
      <c r="L266" s="12" t="str">
        <f>"CH-6302"</f>
        <v>CH-6302</v>
      </c>
      <c r="M266" s="12" t="str">
        <f>"Zug"</f>
        <v>Zug</v>
      </c>
      <c r="N266" s="12" t="str">
        <f>"CHRN-AR-20000310"</f>
        <v>CHRN-AR-20000310</v>
      </c>
      <c r="O266" s="12" t="str">
        <f>"KT001216"</f>
        <v>KT001216</v>
      </c>
      <c r="P266" s="13" t="str">
        <f>"Mediq Suisse AG"</f>
        <v>Mediq Suisse AG</v>
      </c>
    </row>
    <row r="267" spans="1:16" x14ac:dyDescent="0.15">
      <c r="A267" s="11" t="str">
        <f>"5940"</f>
        <v>5940</v>
      </c>
      <c r="B267" s="12" t="str">
        <f>"Klinion Soft Fine Colour 30G"</f>
        <v>Klinion Soft Fine Colour 30G</v>
      </c>
      <c r="C267" s="12" t="str">
        <f>"MDR Risikoklasse IIa"</f>
        <v>MDR Risikoklasse IIa</v>
      </c>
      <c r="D267" s="12" t="str">
        <f>"KT010594"</f>
        <v>KT010594</v>
      </c>
      <c r="E267" s="12" t="str">
        <f>"Promisemed Hangzhou Meditech CO.,Ltd."</f>
        <v>Promisemed Hangzhou Meditech CO.,Ltd.</v>
      </c>
      <c r="F267" s="12" t="str">
        <f>"No 1388 Cangxing Street"</f>
        <v>No 1388 Cangxing Street</v>
      </c>
      <c r="G267" s="12" t="str">
        <f>"CN-311121"</f>
        <v>CN-311121</v>
      </c>
      <c r="H267" s="12" t="str">
        <f>"Zhejiang"</f>
        <v>Zhejiang</v>
      </c>
      <c r="I267" s="12" t="str">
        <f>"KT010516"</f>
        <v>KT010516</v>
      </c>
      <c r="J267" s="12" t="str">
        <f>"OBELIS SWISS GmbH"</f>
        <v>OBELIS SWISS GmbH</v>
      </c>
      <c r="K267" s="12" t="str">
        <f>"Ruessebstrasse 12"</f>
        <v>Ruessebstrasse 12</v>
      </c>
      <c r="L267" s="12" t="str">
        <f>"CH-6340"</f>
        <v>CH-6340</v>
      </c>
      <c r="M267" s="12" t="str">
        <f>"Baar"</f>
        <v>Baar</v>
      </c>
      <c r="N267" s="12" t="str">
        <f>"CHRN-AR-20001698"</f>
        <v>CHRN-AR-20001698</v>
      </c>
      <c r="O267" s="12" t="str">
        <f>"KT001216"</f>
        <v>KT001216</v>
      </c>
      <c r="P267" s="13" t="str">
        <f>"Mediq Suisse AG"</f>
        <v>Mediq Suisse AG</v>
      </c>
    </row>
    <row r="268" spans="1:16" x14ac:dyDescent="0.15">
      <c r="A268" s="11" t="str">
        <f>"5941"</f>
        <v>5941</v>
      </c>
      <c r="B268" s="12" t="str">
        <f>"Klinion Soft Fine Colour 28G"</f>
        <v>Klinion Soft Fine Colour 28G</v>
      </c>
      <c r="C268" s="12" t="str">
        <f>"MDR Risikoklasse IIa"</f>
        <v>MDR Risikoklasse IIa</v>
      </c>
      <c r="D268" s="12" t="str">
        <f>"KT010594"</f>
        <v>KT010594</v>
      </c>
      <c r="E268" s="12" t="str">
        <f>"Promisemed Hangzhou Meditech CO.,Ltd."</f>
        <v>Promisemed Hangzhou Meditech CO.,Ltd.</v>
      </c>
      <c r="F268" s="12" t="str">
        <f>"No 1388 Cangxing Street"</f>
        <v>No 1388 Cangxing Street</v>
      </c>
      <c r="G268" s="12" t="str">
        <f>"CN-311121"</f>
        <v>CN-311121</v>
      </c>
      <c r="H268" s="12" t="str">
        <f>"Zhejiang"</f>
        <v>Zhejiang</v>
      </c>
      <c r="I268" s="12" t="str">
        <f>"KT010516"</f>
        <v>KT010516</v>
      </c>
      <c r="J268" s="12" t="str">
        <f>"OBELIS SWISS GmbH"</f>
        <v>OBELIS SWISS GmbH</v>
      </c>
      <c r="K268" s="12" t="str">
        <f>"Ruessebstrasse 12"</f>
        <v>Ruessebstrasse 12</v>
      </c>
      <c r="L268" s="12" t="str">
        <f>"CH-6340"</f>
        <v>CH-6340</v>
      </c>
      <c r="M268" s="12" t="str">
        <f>"Baar"</f>
        <v>Baar</v>
      </c>
      <c r="N268" s="12" t="str">
        <f>"CHRN-AR-20001698"</f>
        <v>CHRN-AR-20001698</v>
      </c>
      <c r="O268" s="12" t="str">
        <f>"KT001216"</f>
        <v>KT001216</v>
      </c>
      <c r="P268" s="13" t="str">
        <f>"Mediq Suisse AG"</f>
        <v>Mediq Suisse AG</v>
      </c>
    </row>
    <row r="269" spans="1:16" x14ac:dyDescent="0.15">
      <c r="A269" s="11" t="str">
        <f>"610459"</f>
        <v>610459</v>
      </c>
      <c r="B269" s="12" t="str">
        <f>"Steriset Verbandset Nr. 10"</f>
        <v>Steriset Verbandset Nr. 10</v>
      </c>
      <c r="C269" s="12" t="str">
        <f>"MDR Risikoklasse IIa"</f>
        <v>MDR Risikoklasse IIa</v>
      </c>
      <c r="D269" s="12" t="str">
        <f>"KT001391"</f>
        <v>KT001391</v>
      </c>
      <c r="E269" s="12" t="str">
        <f>"Sterisets International BV"</f>
        <v>Sterisets International BV</v>
      </c>
      <c r="F269" s="12" t="str">
        <f>"Ketelmeer 3"</f>
        <v>Ketelmeer 3</v>
      </c>
      <c r="G269" s="12" t="str">
        <f>"NL-5347"</f>
        <v>NL-5347</v>
      </c>
      <c r="H269" s="12" t="str">
        <f>"JX Oss"</f>
        <v>JX Oss</v>
      </c>
      <c r="I269" s="12" t="str">
        <f>"KT005665"</f>
        <v>KT005665</v>
      </c>
      <c r="J269" s="12" t="str">
        <f>"MedEnvoy Switzerland"</f>
        <v>MedEnvoy Switzerland</v>
      </c>
      <c r="K269" s="12" t="str">
        <f>"Gotthardstrasse 28"</f>
        <v>Gotthardstrasse 28</v>
      </c>
      <c r="L269" s="12" t="str">
        <f>"CH-6302"</f>
        <v>CH-6302</v>
      </c>
      <c r="M269" s="12" t="str">
        <f>"Zug"</f>
        <v>Zug</v>
      </c>
      <c r="N269" s="12" t="str">
        <f>"CHRN-AR-20000310"</f>
        <v>CHRN-AR-20000310</v>
      </c>
      <c r="O269" s="12" t="str">
        <f>"KT001216"</f>
        <v>KT001216</v>
      </c>
      <c r="P269" s="13" t="str">
        <f>"Mediq Suisse AG"</f>
        <v>Mediq Suisse AG</v>
      </c>
    </row>
    <row r="270" spans="1:16" x14ac:dyDescent="0.15">
      <c r="A270" s="11" t="str">
        <f>"6400.0"</f>
        <v>6400.0</v>
      </c>
      <c r="B270" s="12" t="str">
        <f>"Absorin Mincy Light for Men"</f>
        <v>Absorin Mincy Light for Men</v>
      </c>
      <c r="C270" s="12" t="str">
        <f>"MDR Risikoklasse I"</f>
        <v>MDR Risikoklasse I</v>
      </c>
      <c r="D270" s="12" t="str">
        <f>"KT000099"</f>
        <v>KT000099</v>
      </c>
      <c r="E270" s="12" t="str">
        <f>"MEDIQ MEDECO"</f>
        <v>MEDIQ MEDECO</v>
      </c>
      <c r="F270" s="12" t="str">
        <f>"Brandpuntlaan Zuid 14"</f>
        <v>Brandpuntlaan Zuid 14</v>
      </c>
      <c r="G270" s="12" t="str">
        <f>"NL-2665 NZ"</f>
        <v>NL-2665 NZ</v>
      </c>
      <c r="H270" s="12" t="str">
        <f>"Bleiswijk"</f>
        <v>Bleiswijk</v>
      </c>
      <c r="I270" s="12" t="str">
        <f>"KT001216"</f>
        <v>KT001216</v>
      </c>
      <c r="J270" s="12" t="str">
        <f>"Mediq Suisse AG"</f>
        <v>Mediq Suisse AG</v>
      </c>
      <c r="K270" s="12" t="str">
        <f>"Rosengartenstrasse 25"</f>
        <v>Rosengartenstrasse 25</v>
      </c>
      <c r="L270" s="12" t="str">
        <f>"CH-8608"</f>
        <v>CH-8608</v>
      </c>
      <c r="M270" s="12" t="str">
        <f>"Bubikon"</f>
        <v>Bubikon</v>
      </c>
      <c r="N270" s="12" t="str">
        <f>"CHRN-AR-20001658"</f>
        <v>CHRN-AR-20001658</v>
      </c>
      <c r="O270" s="12" t="str">
        <f>"KT001216"</f>
        <v>KT001216</v>
      </c>
      <c r="P270" s="13" t="str">
        <f>"Mediq Suisse AG"</f>
        <v>Mediq Suisse AG</v>
      </c>
    </row>
    <row r="271" spans="1:16" x14ac:dyDescent="0.15">
      <c r="A271" s="11" t="str">
        <f>"6500.8"</f>
        <v>6500.8</v>
      </c>
      <c r="B271" s="12" t="str">
        <f>"Absorin Mincy Normal for Men"</f>
        <v>Absorin Mincy Normal for Men</v>
      </c>
      <c r="C271" s="12" t="str">
        <f>"MDR Risikoklasse I"</f>
        <v>MDR Risikoklasse I</v>
      </c>
      <c r="D271" s="12" t="str">
        <f>"KT000099"</f>
        <v>KT000099</v>
      </c>
      <c r="E271" s="12" t="str">
        <f>"MEDIQ MEDECO"</f>
        <v>MEDIQ MEDECO</v>
      </c>
      <c r="F271" s="12" t="str">
        <f>"Brandpuntlaan Zuid 14"</f>
        <v>Brandpuntlaan Zuid 14</v>
      </c>
      <c r="G271" s="12" t="str">
        <f>"NL-2665 NZ"</f>
        <v>NL-2665 NZ</v>
      </c>
      <c r="H271" s="12" t="str">
        <f>"Bleiswijk"</f>
        <v>Bleiswijk</v>
      </c>
      <c r="I271" s="12" t="str">
        <f>"KT001216"</f>
        <v>KT001216</v>
      </c>
      <c r="J271" s="12" t="str">
        <f>"Mediq Suisse AG"</f>
        <v>Mediq Suisse AG</v>
      </c>
      <c r="K271" s="12" t="str">
        <f>"Rosengartenstrasse 25"</f>
        <v>Rosengartenstrasse 25</v>
      </c>
      <c r="L271" s="12" t="str">
        <f>"CH-8608"</f>
        <v>CH-8608</v>
      </c>
      <c r="M271" s="12" t="str">
        <f>"Bubikon"</f>
        <v>Bubikon</v>
      </c>
      <c r="N271" s="12" t="str">
        <f>"CHRN-AR-20001658"</f>
        <v>CHRN-AR-20001658</v>
      </c>
      <c r="O271" s="12" t="str">
        <f>"KT001216"</f>
        <v>KT001216</v>
      </c>
      <c r="P271" s="13" t="str">
        <f>"Mediq Suisse AG"</f>
        <v>Mediq Suisse AG</v>
      </c>
    </row>
    <row r="272" spans="1:16" x14ac:dyDescent="0.15">
      <c r="A272" s="11" t="str">
        <f>"70090"</f>
        <v>70090</v>
      </c>
      <c r="B272" s="12" t="str">
        <f>"Stepty No. 80 EU|steril|weiss|50x1"</f>
        <v>Stepty No. 80 EU|steril|weiss|50x1</v>
      </c>
      <c r="C272" s="12" t="str">
        <f>"MDR Risikoklasse Is"</f>
        <v>MDR Risikoklasse Is</v>
      </c>
      <c r="D272" s="12" t="str">
        <f>"KT000098"</f>
        <v>KT000098</v>
      </c>
      <c r="E272" s="12" t="str">
        <f>"Nichiban Co. Ltd."</f>
        <v>Nichiban Co. Ltd.</v>
      </c>
      <c r="F272" s="12" t="str">
        <f>"2-3-3 Sekiguchi"</f>
        <v>2-3-3 Sekiguchi</v>
      </c>
      <c r="G272" s="12" t="str">
        <f>"JP-112-8663"</f>
        <v>JP-112-8663</v>
      </c>
      <c r="H272" s="12" t="str">
        <f>"TOKYO"</f>
        <v>TOKYO</v>
      </c>
      <c r="I272" s="12" t="str">
        <f>"KT005665"</f>
        <v>KT005665</v>
      </c>
      <c r="J272" s="12" t="str">
        <f>"MedEnvoy Switzerland"</f>
        <v>MedEnvoy Switzerland</v>
      </c>
      <c r="K272" s="12" t="str">
        <f>"Gotthardstrasse 28"</f>
        <v>Gotthardstrasse 28</v>
      </c>
      <c r="L272" s="12" t="str">
        <f>"CH-6302"</f>
        <v>CH-6302</v>
      </c>
      <c r="M272" s="12" t="str">
        <f>"Zug"</f>
        <v>Zug</v>
      </c>
      <c r="N272" s="12" t="str">
        <f>"CHRN-AR-20000310"</f>
        <v>CHRN-AR-20000310</v>
      </c>
      <c r="O272" s="12" t="str">
        <f>"KT001216"</f>
        <v>KT001216</v>
      </c>
      <c r="P272" s="13" t="str">
        <f>"Mediq Suisse AG"</f>
        <v>Mediq Suisse AG</v>
      </c>
    </row>
    <row r="273" spans="1:16" x14ac:dyDescent="0.15">
      <c r="A273" s="11" t="str">
        <f>"7043M"</f>
        <v>7043M</v>
      </c>
      <c r="B273" s="12" t="str">
        <f>"Medlance plus Lite|25G|1.5 mm|violett"</f>
        <v>Medlance plus Lite|25G|1.5 mm|violett</v>
      </c>
      <c r="C273" s="12" t="str">
        <f>"MDR Risikoklasse IIa"</f>
        <v>MDR Risikoklasse IIa</v>
      </c>
      <c r="D273" s="12" t="str">
        <f>"KT006438"</f>
        <v>KT006438</v>
      </c>
      <c r="E273" s="12" t="str">
        <f>"HTL-STREFA S.A."</f>
        <v>HTL-STREFA S.A.</v>
      </c>
      <c r="F273" s="12" t="str">
        <f>"Adamowek 7"</f>
        <v>Adamowek 7</v>
      </c>
      <c r="G273" s="12" t="str">
        <f>"PL-95-035"</f>
        <v>PL-95-035</v>
      </c>
      <c r="H273" s="12" t="str">
        <f>"Ozorkow"</f>
        <v>Ozorkow</v>
      </c>
      <c r="I273" s="12" t="str">
        <f>"KT005665"</f>
        <v>KT005665</v>
      </c>
      <c r="J273" s="12" t="str">
        <f>"MedEnvoy Switzerland"</f>
        <v>MedEnvoy Switzerland</v>
      </c>
      <c r="K273" s="12" t="str">
        <f>"Gotthardstrasse 28"</f>
        <v>Gotthardstrasse 28</v>
      </c>
      <c r="L273" s="12" t="str">
        <f>"CH-6302"</f>
        <v>CH-6302</v>
      </c>
      <c r="M273" s="12" t="str">
        <f>"Zug"</f>
        <v>Zug</v>
      </c>
      <c r="N273" s="12" t="str">
        <f>"CHRN-AR-20000310"</f>
        <v>CHRN-AR-20000310</v>
      </c>
      <c r="O273" s="12" t="str">
        <f>"KT001216"</f>
        <v>KT001216</v>
      </c>
      <c r="P273" s="13" t="str">
        <f>"Mediq Suisse AG"</f>
        <v>Mediq Suisse AG</v>
      </c>
    </row>
    <row r="274" spans="1:16" x14ac:dyDescent="0.15">
      <c r="A274" s="11" t="str">
        <f>"7045 M"</f>
        <v>7045 M</v>
      </c>
      <c r="B274" s="12" t="str">
        <f>"Medlance plus Extra|21G|2.4 mm|grün"</f>
        <v>Medlance plus Extra|21G|2.4 mm|grün</v>
      </c>
      <c r="C274" s="12" t="str">
        <f>"MDR Risikoklasse IIa"</f>
        <v>MDR Risikoklasse IIa</v>
      </c>
      <c r="D274" s="12" t="str">
        <f>"KT006438"</f>
        <v>KT006438</v>
      </c>
      <c r="E274" s="12" t="str">
        <f>"HTL-STREFA S.A."</f>
        <v>HTL-STREFA S.A.</v>
      </c>
      <c r="F274" s="12" t="str">
        <f>"Adamowek 7"</f>
        <v>Adamowek 7</v>
      </c>
      <c r="G274" s="12" t="str">
        <f>"PL-95-035"</f>
        <v>PL-95-035</v>
      </c>
      <c r="H274" s="12" t="str">
        <f>"Ozorkow"</f>
        <v>Ozorkow</v>
      </c>
      <c r="I274" s="12" t="str">
        <f>"KT005665"</f>
        <v>KT005665</v>
      </c>
      <c r="J274" s="12" t="str">
        <f>"MedEnvoy Switzerland"</f>
        <v>MedEnvoy Switzerland</v>
      </c>
      <c r="K274" s="12" t="str">
        <f>"Gotthardstrasse 28"</f>
        <v>Gotthardstrasse 28</v>
      </c>
      <c r="L274" s="12" t="str">
        <f>"CH-6302"</f>
        <v>CH-6302</v>
      </c>
      <c r="M274" s="12" t="str">
        <f>"Zug"</f>
        <v>Zug</v>
      </c>
      <c r="N274" s="12" t="str">
        <f>"CHRN-AR-20000310"</f>
        <v>CHRN-AR-20000310</v>
      </c>
      <c r="O274" s="12" t="str">
        <f>"KT001216"</f>
        <v>KT001216</v>
      </c>
      <c r="P274" s="13" t="str">
        <f>"Mediq Suisse AG"</f>
        <v>Mediq Suisse AG</v>
      </c>
    </row>
    <row r="275" spans="1:16" x14ac:dyDescent="0.15">
      <c r="A275" s="11" t="str">
        <f>"7046 M"</f>
        <v>7046 M</v>
      </c>
      <c r="B275" s="12" t="str">
        <f>"Medlance plus Spezial|Klinge 0.8mm|2.0 mm|gelb"</f>
        <v>Medlance plus Spezial|Klinge 0.8mm|2.0 mm|gelb</v>
      </c>
      <c r="C275" s="12" t="str">
        <f>"MDR Risikoklasse IIa"</f>
        <v>MDR Risikoklasse IIa</v>
      </c>
      <c r="D275" s="12" t="str">
        <f>"KT006438"</f>
        <v>KT006438</v>
      </c>
      <c r="E275" s="12" t="str">
        <f>"HTL-STREFA S.A."</f>
        <v>HTL-STREFA S.A.</v>
      </c>
      <c r="F275" s="12" t="str">
        <f>"Adamowek 7"</f>
        <v>Adamowek 7</v>
      </c>
      <c r="G275" s="12" t="str">
        <f>"PL-95-035"</f>
        <v>PL-95-035</v>
      </c>
      <c r="H275" s="12" t="str">
        <f>"Ozorkow"</f>
        <v>Ozorkow</v>
      </c>
      <c r="I275" s="12" t="str">
        <f>"KT005665"</f>
        <v>KT005665</v>
      </c>
      <c r="J275" s="12" t="str">
        <f>"MedEnvoy Switzerland"</f>
        <v>MedEnvoy Switzerland</v>
      </c>
      <c r="K275" s="12" t="str">
        <f>"Gotthardstrasse 28"</f>
        <v>Gotthardstrasse 28</v>
      </c>
      <c r="L275" s="12" t="str">
        <f>"CH-6302"</f>
        <v>CH-6302</v>
      </c>
      <c r="M275" s="12" t="str">
        <f>"Zug"</f>
        <v>Zug</v>
      </c>
      <c r="N275" s="12" t="str">
        <f>"CHRN-AR-20000310"</f>
        <v>CHRN-AR-20000310</v>
      </c>
      <c r="O275" s="12" t="str">
        <f>"KT001216"</f>
        <v>KT001216</v>
      </c>
      <c r="P275" s="13" t="str">
        <f>"Mediq Suisse AG"</f>
        <v>Mediq Suisse AG</v>
      </c>
    </row>
    <row r="276" spans="1:16" x14ac:dyDescent="0.15">
      <c r="A276" s="11" t="str">
        <f>"7051 M"</f>
        <v>7051 M</v>
      </c>
      <c r="B276" s="12" t="str">
        <f>"Medlance plus Universal|21G|1.8 mm|blau"</f>
        <v>Medlance plus Universal|21G|1.8 mm|blau</v>
      </c>
      <c r="C276" s="12" t="str">
        <f>"MDR Risikoklasse IIa"</f>
        <v>MDR Risikoklasse IIa</v>
      </c>
      <c r="D276" s="12" t="str">
        <f>"KT006438"</f>
        <v>KT006438</v>
      </c>
      <c r="E276" s="12" t="str">
        <f>"HTL-STREFA S.A."</f>
        <v>HTL-STREFA S.A.</v>
      </c>
      <c r="F276" s="12" t="str">
        <f>"Adamowek 7"</f>
        <v>Adamowek 7</v>
      </c>
      <c r="G276" s="12" t="str">
        <f>"PL-95-035"</f>
        <v>PL-95-035</v>
      </c>
      <c r="H276" s="12" t="str">
        <f>"Ozorkow"</f>
        <v>Ozorkow</v>
      </c>
      <c r="I276" s="12" t="str">
        <f>"KT005665"</f>
        <v>KT005665</v>
      </c>
      <c r="J276" s="12" t="str">
        <f>"MedEnvoy Switzerland"</f>
        <v>MedEnvoy Switzerland</v>
      </c>
      <c r="K276" s="12" t="str">
        <f>"Gotthardstrasse 28"</f>
        <v>Gotthardstrasse 28</v>
      </c>
      <c r="L276" s="12" t="str">
        <f>"CH-6302"</f>
        <v>CH-6302</v>
      </c>
      <c r="M276" s="12" t="str">
        <f>"Zug"</f>
        <v>Zug</v>
      </c>
      <c r="N276" s="12" t="str">
        <f>"CHRN-AR-20000310"</f>
        <v>CHRN-AR-20000310</v>
      </c>
      <c r="O276" s="12" t="str">
        <f>"KT001216"</f>
        <v>KT001216</v>
      </c>
      <c r="P276" s="13" t="str">
        <f>"Mediq Suisse AG"</f>
        <v>Mediq Suisse AG</v>
      </c>
    </row>
    <row r="277" spans="1:16" x14ac:dyDescent="0.15">
      <c r="A277" s="11" t="str">
        <f>"71639"</f>
        <v>71639</v>
      </c>
      <c r="B277" s="12" t="str">
        <f>"Injection Pad No. 36 EU|steril|weiss|100x1"</f>
        <v>Injection Pad No. 36 EU|steril|weiss|100x1</v>
      </c>
      <c r="C277" s="12" t="str">
        <f>"MDR Risikoklasse Is"</f>
        <v>MDR Risikoklasse Is</v>
      </c>
      <c r="D277" s="12" t="str">
        <f>"KT000098"</f>
        <v>KT000098</v>
      </c>
      <c r="E277" s="12" t="str">
        <f>"Nichiban Co. Ltd."</f>
        <v>Nichiban Co. Ltd.</v>
      </c>
      <c r="F277" s="12" t="str">
        <f>"2-3-3 Sekiguchi"</f>
        <v>2-3-3 Sekiguchi</v>
      </c>
      <c r="G277" s="12" t="str">
        <f>"JP-112-8663"</f>
        <v>JP-112-8663</v>
      </c>
      <c r="H277" s="12" t="str">
        <f>"TOKYO"</f>
        <v>TOKYO</v>
      </c>
      <c r="I277" s="12" t="str">
        <f>"KT005665"</f>
        <v>KT005665</v>
      </c>
      <c r="J277" s="12" t="str">
        <f>"MedEnvoy Switzerland"</f>
        <v>MedEnvoy Switzerland</v>
      </c>
      <c r="K277" s="12" t="str">
        <f>"Gotthardstrasse 28"</f>
        <v>Gotthardstrasse 28</v>
      </c>
      <c r="L277" s="12" t="str">
        <f>"CH-6302"</f>
        <v>CH-6302</v>
      </c>
      <c r="M277" s="12" t="str">
        <f>"Zug"</f>
        <v>Zug</v>
      </c>
      <c r="N277" s="12" t="str">
        <f>"CHRN-AR-20000310"</f>
        <v>CHRN-AR-20000310</v>
      </c>
      <c r="O277" s="12" t="str">
        <f>"KT001216"</f>
        <v>KT001216</v>
      </c>
      <c r="P277" s="13" t="str">
        <f>"Mediq Suisse AG"</f>
        <v>Mediq Suisse AG</v>
      </c>
    </row>
    <row r="278" spans="1:16" x14ac:dyDescent="0.15">
      <c r="A278" s="11" t="str">
        <f>"71660"</f>
        <v>71660</v>
      </c>
      <c r="B278" s="12" t="str">
        <f>"Stepty P No. 120P EU|steril|weiss|30x1"</f>
        <v>Stepty P No. 120P EU|steril|weiss|30x1</v>
      </c>
      <c r="C278" s="12" t="str">
        <f>"MDR Risikoklasse Is"</f>
        <v>MDR Risikoklasse Is</v>
      </c>
      <c r="D278" s="12" t="str">
        <f>"KT000098"</f>
        <v>KT000098</v>
      </c>
      <c r="E278" s="12" t="str">
        <f>"Nichiban Co. Ltd."</f>
        <v>Nichiban Co. Ltd.</v>
      </c>
      <c r="F278" s="12" t="str">
        <f>"2-3-3 Sekiguchi"</f>
        <v>2-3-3 Sekiguchi</v>
      </c>
      <c r="G278" s="12" t="str">
        <f>"JP-112-8663"</f>
        <v>JP-112-8663</v>
      </c>
      <c r="H278" s="12" t="str">
        <f>"TOKYO"</f>
        <v>TOKYO</v>
      </c>
      <c r="I278" s="12" t="str">
        <f>"KT005665"</f>
        <v>KT005665</v>
      </c>
      <c r="J278" s="12" t="str">
        <f>"MedEnvoy Switzerland"</f>
        <v>MedEnvoy Switzerland</v>
      </c>
      <c r="K278" s="12" t="str">
        <f>"Gotthardstrasse 28"</f>
        <v>Gotthardstrasse 28</v>
      </c>
      <c r="L278" s="12" t="str">
        <f>"CH-6302"</f>
        <v>CH-6302</v>
      </c>
      <c r="M278" s="12" t="str">
        <f>"Zug"</f>
        <v>Zug</v>
      </c>
      <c r="N278" s="12" t="str">
        <f>"CHRN-AR-20000310"</f>
        <v>CHRN-AR-20000310</v>
      </c>
      <c r="O278" s="12" t="str">
        <f>"KT001216"</f>
        <v>KT001216</v>
      </c>
      <c r="P278" s="13" t="str">
        <f>"Mediq Suisse AG"</f>
        <v>Mediq Suisse AG</v>
      </c>
    </row>
    <row r="279" spans="1:16" x14ac:dyDescent="0.15">
      <c r="A279" s="11" t="str">
        <f>"7225.0"</f>
        <v>7225.0</v>
      </c>
      <c r="B279" s="12" t="str">
        <f>"Absorin Extra"</f>
        <v>Absorin Extra</v>
      </c>
      <c r="C279" s="12" t="str">
        <f>"MDR Risikoklasse I"</f>
        <v>MDR Risikoklasse I</v>
      </c>
      <c r="D279" s="12" t="str">
        <f>"KT000099"</f>
        <v>KT000099</v>
      </c>
      <c r="E279" s="12" t="str">
        <f>"MEDIQ MEDECO"</f>
        <v>MEDIQ MEDECO</v>
      </c>
      <c r="F279" s="12" t="str">
        <f>"Brandpuntlaan Zuid 14"</f>
        <v>Brandpuntlaan Zuid 14</v>
      </c>
      <c r="G279" s="12" t="str">
        <f>"NL-2665 NZ"</f>
        <v>NL-2665 NZ</v>
      </c>
      <c r="H279" s="12" t="str">
        <f>"Bleiswijk"</f>
        <v>Bleiswijk</v>
      </c>
      <c r="I279" s="12" t="str">
        <f>"KT001216"</f>
        <v>KT001216</v>
      </c>
      <c r="J279" s="12" t="str">
        <f>"Mediq Suisse AG"</f>
        <v>Mediq Suisse AG</v>
      </c>
      <c r="K279" s="12" t="str">
        <f>"Rosengartenstrasse 25"</f>
        <v>Rosengartenstrasse 25</v>
      </c>
      <c r="L279" s="12" t="str">
        <f>"CH-8608"</f>
        <v>CH-8608</v>
      </c>
      <c r="M279" s="12" t="str">
        <f>"Bubikon"</f>
        <v>Bubikon</v>
      </c>
      <c r="N279" s="12" t="str">
        <f>"CHRN-AR-20001658"</f>
        <v>CHRN-AR-20001658</v>
      </c>
      <c r="O279" s="12" t="str">
        <f>"KT001216"</f>
        <v>KT001216</v>
      </c>
      <c r="P279" s="13" t="str">
        <f>"Mediq Suisse AG"</f>
        <v>Mediq Suisse AG</v>
      </c>
    </row>
    <row r="280" spans="1:16" x14ac:dyDescent="0.15">
      <c r="A280" s="11" t="str">
        <f>"72346"</f>
        <v>72346</v>
      </c>
      <c r="B280" s="12" t="str">
        <f>"Stepty No. 80A EU|steril|beige|50x1"</f>
        <v>Stepty No. 80A EU|steril|beige|50x1</v>
      </c>
      <c r="C280" s="12" t="str">
        <f>"MDR Risikoklasse Is"</f>
        <v>MDR Risikoklasse Is</v>
      </c>
      <c r="D280" s="12" t="str">
        <f>"KT000098"</f>
        <v>KT000098</v>
      </c>
      <c r="E280" s="12" t="str">
        <f>"Nichiban Co. Ltd."</f>
        <v>Nichiban Co. Ltd.</v>
      </c>
      <c r="F280" s="12" t="str">
        <f>"2-3-3 Sekiguchi"</f>
        <v>2-3-3 Sekiguchi</v>
      </c>
      <c r="G280" s="12" t="str">
        <f>"JP-112-8663"</f>
        <v>JP-112-8663</v>
      </c>
      <c r="H280" s="12" t="str">
        <f>"TOKYO"</f>
        <v>TOKYO</v>
      </c>
      <c r="I280" s="12" t="str">
        <f>"KT005665"</f>
        <v>KT005665</v>
      </c>
      <c r="J280" s="12" t="str">
        <f>"MedEnvoy Switzerland"</f>
        <v>MedEnvoy Switzerland</v>
      </c>
      <c r="K280" s="12" t="str">
        <f>"Gotthardstrasse 28"</f>
        <v>Gotthardstrasse 28</v>
      </c>
      <c r="L280" s="12" t="str">
        <f>"CH-6302"</f>
        <v>CH-6302</v>
      </c>
      <c r="M280" s="12" t="str">
        <f>"Zug"</f>
        <v>Zug</v>
      </c>
      <c r="N280" s="12" t="str">
        <f>"CHRN-AR-20000310"</f>
        <v>CHRN-AR-20000310</v>
      </c>
      <c r="O280" s="12" t="str">
        <f>"KT001216"</f>
        <v>KT001216</v>
      </c>
      <c r="P280" s="13" t="str">
        <f>"Mediq Suisse AG"</f>
        <v>Mediq Suisse AG</v>
      </c>
    </row>
    <row r="281" spans="1:16" x14ac:dyDescent="0.15">
      <c r="A281" s="11" t="str">
        <f>"7235.0"</f>
        <v>7235.0</v>
      </c>
      <c r="B281" s="12" t="str">
        <f>"Absorin Super"</f>
        <v>Absorin Super</v>
      </c>
      <c r="C281" s="12" t="str">
        <f>"MDR Risikoklasse I"</f>
        <v>MDR Risikoklasse I</v>
      </c>
      <c r="D281" s="12" t="str">
        <f>"KT000099"</f>
        <v>KT000099</v>
      </c>
      <c r="E281" s="12" t="str">
        <f>"MEDIQ MEDECO"</f>
        <v>MEDIQ MEDECO</v>
      </c>
      <c r="F281" s="12" t="str">
        <f>"Brandpuntlaan Zuid 14"</f>
        <v>Brandpuntlaan Zuid 14</v>
      </c>
      <c r="G281" s="12" t="str">
        <f>"NL-2665 NZ"</f>
        <v>NL-2665 NZ</v>
      </c>
      <c r="H281" s="12" t="str">
        <f>"Bleiswijk"</f>
        <v>Bleiswijk</v>
      </c>
      <c r="I281" s="12" t="str">
        <f>"KT001216"</f>
        <v>KT001216</v>
      </c>
      <c r="J281" s="12" t="str">
        <f>"Mediq Suisse AG"</f>
        <v>Mediq Suisse AG</v>
      </c>
      <c r="K281" s="12" t="str">
        <f>"Rosengartenstrasse 25"</f>
        <v>Rosengartenstrasse 25</v>
      </c>
      <c r="L281" s="12" t="str">
        <f>"CH-8608"</f>
        <v>CH-8608</v>
      </c>
      <c r="M281" s="12" t="str">
        <f>"Bubikon"</f>
        <v>Bubikon</v>
      </c>
      <c r="N281" s="12" t="str">
        <f>"CHRN-AR-20001658"</f>
        <v>CHRN-AR-20001658</v>
      </c>
      <c r="O281" s="12" t="str">
        <f>"KT001216"</f>
        <v>KT001216</v>
      </c>
      <c r="P281" s="13" t="str">
        <f>"Mediq Suisse AG"</f>
        <v>Mediq Suisse AG</v>
      </c>
    </row>
    <row r="282" spans="1:16" x14ac:dyDescent="0.15">
      <c r="A282" s="11" t="str">
        <f>"7412441"</f>
        <v>7412441</v>
      </c>
      <c r="B282" s="12" t="str">
        <f>"Klinion Isoliermantel|Nonwoven + PE-Schicht|blau|L"</f>
        <v>Klinion Isoliermantel|Nonwoven + PE-Schicht|blau|L</v>
      </c>
      <c r="C282" s="12" t="str">
        <f>"MDR Risikoklasse I"</f>
        <v>MDR Risikoklasse I</v>
      </c>
      <c r="D282" s="12" t="str">
        <f>"KT000099"</f>
        <v>KT000099</v>
      </c>
      <c r="E282" s="12" t="str">
        <f>"MEDIQ MEDECO"</f>
        <v>MEDIQ MEDECO</v>
      </c>
      <c r="F282" s="12" t="str">
        <f>"Brandpuntlaan Zuid 14"</f>
        <v>Brandpuntlaan Zuid 14</v>
      </c>
      <c r="G282" s="12" t="str">
        <f>"NL-2665 NZ"</f>
        <v>NL-2665 NZ</v>
      </c>
      <c r="H282" s="12" t="str">
        <f>"Bleiswijk"</f>
        <v>Bleiswijk</v>
      </c>
      <c r="I282" s="12" t="str">
        <f>"KT001216"</f>
        <v>KT001216</v>
      </c>
      <c r="J282" s="12" t="str">
        <f>"Mediq Suisse AG"</f>
        <v>Mediq Suisse AG</v>
      </c>
      <c r="K282" s="12" t="str">
        <f>"Rosengartenstrasse 25"</f>
        <v>Rosengartenstrasse 25</v>
      </c>
      <c r="L282" s="12" t="str">
        <f>"CH-8608"</f>
        <v>CH-8608</v>
      </c>
      <c r="M282" s="12" t="str">
        <f>"Bubikon"</f>
        <v>Bubikon</v>
      </c>
      <c r="N282" s="12" t="str">
        <f>"CHRN-AR-20001658"</f>
        <v>CHRN-AR-20001658</v>
      </c>
      <c r="O282" s="12" t="str">
        <f>"KT001216"</f>
        <v>KT001216</v>
      </c>
      <c r="P282" s="13" t="str">
        <f>"Mediq Suisse AG"</f>
        <v>Mediq Suisse AG</v>
      </c>
    </row>
    <row r="283" spans="1:16" x14ac:dyDescent="0.15">
      <c r="A283" s="11" t="str">
        <f>"7551546"</f>
        <v>7551546</v>
      </c>
      <c r="B283" s="12" t="str">
        <f>"Klinion Latex U-Handschuhe S|weiss"</f>
        <v>Klinion Latex U-Handschuhe S|weiss</v>
      </c>
      <c r="C283" s="12" t="str">
        <f>"MDR Risikoklasse I"</f>
        <v>MDR Risikoklasse I</v>
      </c>
      <c r="D283" s="12" t="str">
        <f>"KT000099"</f>
        <v>KT000099</v>
      </c>
      <c r="E283" s="12" t="str">
        <f>"MEDIQ MEDECO"</f>
        <v>MEDIQ MEDECO</v>
      </c>
      <c r="F283" s="12" t="str">
        <f>"Brandpuntlaan Zuid 14"</f>
        <v>Brandpuntlaan Zuid 14</v>
      </c>
      <c r="G283" s="12" t="str">
        <f>"NL-2665 NZ"</f>
        <v>NL-2665 NZ</v>
      </c>
      <c r="H283" s="12" t="str">
        <f>"Bleiswijk"</f>
        <v>Bleiswijk</v>
      </c>
      <c r="I283" s="12" t="str">
        <f>"KT001216"</f>
        <v>KT001216</v>
      </c>
      <c r="J283" s="12" t="str">
        <f>"Mediq Suisse AG"</f>
        <v>Mediq Suisse AG</v>
      </c>
      <c r="K283" s="12" t="str">
        <f>"Rosengartenstrasse 25"</f>
        <v>Rosengartenstrasse 25</v>
      </c>
      <c r="L283" s="12" t="str">
        <f>"CH-8608"</f>
        <v>CH-8608</v>
      </c>
      <c r="M283" s="12" t="str">
        <f>"Bubikon"</f>
        <v>Bubikon</v>
      </c>
      <c r="N283" s="12" t="str">
        <f>"CHRN-AR-20001658"</f>
        <v>CHRN-AR-20001658</v>
      </c>
      <c r="O283" s="12" t="str">
        <f>"KT001216"</f>
        <v>KT001216</v>
      </c>
      <c r="P283" s="13" t="str">
        <f>"Mediq Suisse AG"</f>
        <v>Mediq Suisse AG</v>
      </c>
    </row>
    <row r="284" spans="1:16" x14ac:dyDescent="0.15">
      <c r="A284" s="11" t="str">
        <f>"7551548"</f>
        <v>7551548</v>
      </c>
      <c r="B284" s="12" t="str">
        <f>"Klinion Latex U-Handschuhe L|weiss"</f>
        <v>Klinion Latex U-Handschuhe L|weiss</v>
      </c>
      <c r="C284" s="12" t="str">
        <f>"MDR Risikoklasse I"</f>
        <v>MDR Risikoklasse I</v>
      </c>
      <c r="D284" s="12" t="str">
        <f>"KT000099"</f>
        <v>KT000099</v>
      </c>
      <c r="E284" s="12" t="str">
        <f>"MEDIQ MEDECO"</f>
        <v>MEDIQ MEDECO</v>
      </c>
      <c r="F284" s="12" t="str">
        <f>"Brandpuntlaan Zuid 14"</f>
        <v>Brandpuntlaan Zuid 14</v>
      </c>
      <c r="G284" s="12" t="str">
        <f>"NL-2665 NZ"</f>
        <v>NL-2665 NZ</v>
      </c>
      <c r="H284" s="12" t="str">
        <f>"Bleiswijk"</f>
        <v>Bleiswijk</v>
      </c>
      <c r="I284" s="12" t="str">
        <f>"KT001216"</f>
        <v>KT001216</v>
      </c>
      <c r="J284" s="12" t="str">
        <f>"Mediq Suisse AG"</f>
        <v>Mediq Suisse AG</v>
      </c>
      <c r="K284" s="12" t="str">
        <f>"Rosengartenstrasse 25"</f>
        <v>Rosengartenstrasse 25</v>
      </c>
      <c r="L284" s="12" t="str">
        <f>"CH-8608"</f>
        <v>CH-8608</v>
      </c>
      <c r="M284" s="12" t="str">
        <f>"Bubikon"</f>
        <v>Bubikon</v>
      </c>
      <c r="N284" s="12" t="str">
        <f>"CHRN-AR-20001658"</f>
        <v>CHRN-AR-20001658</v>
      </c>
      <c r="O284" s="12" t="str">
        <f>"KT001216"</f>
        <v>KT001216</v>
      </c>
      <c r="P284" s="13" t="str">
        <f>"Mediq Suisse AG"</f>
        <v>Mediq Suisse AG</v>
      </c>
    </row>
    <row r="285" spans="1:16" x14ac:dyDescent="0.15">
      <c r="A285" s="11" t="str">
        <f>"7551549"</f>
        <v>7551549</v>
      </c>
      <c r="B285" s="12" t="str">
        <f>"Klinion Latex U-Handschuhe XL|weiss"</f>
        <v>Klinion Latex U-Handschuhe XL|weiss</v>
      </c>
      <c r="C285" s="12" t="str">
        <f>"MDR Risikoklasse I"</f>
        <v>MDR Risikoklasse I</v>
      </c>
      <c r="D285" s="12" t="str">
        <f>"KT000099"</f>
        <v>KT000099</v>
      </c>
      <c r="E285" s="12" t="str">
        <f>"MEDIQ MEDECO"</f>
        <v>MEDIQ MEDECO</v>
      </c>
      <c r="F285" s="12" t="str">
        <f>"Brandpuntlaan Zuid 14"</f>
        <v>Brandpuntlaan Zuid 14</v>
      </c>
      <c r="G285" s="12" t="str">
        <f>"NL-2665 NZ"</f>
        <v>NL-2665 NZ</v>
      </c>
      <c r="H285" s="12" t="str">
        <f>"Bleiswijk"</f>
        <v>Bleiswijk</v>
      </c>
      <c r="I285" s="12" t="str">
        <f>"KT001216"</f>
        <v>KT001216</v>
      </c>
      <c r="J285" s="12" t="str">
        <f>"Mediq Suisse AG"</f>
        <v>Mediq Suisse AG</v>
      </c>
      <c r="K285" s="12" t="str">
        <f>"Rosengartenstrasse 25"</f>
        <v>Rosengartenstrasse 25</v>
      </c>
      <c r="L285" s="12" t="str">
        <f>"CH-8608"</f>
        <v>CH-8608</v>
      </c>
      <c r="M285" s="12" t="str">
        <f>"Bubikon"</f>
        <v>Bubikon</v>
      </c>
      <c r="N285" s="12" t="str">
        <f>"CHRN-AR-20001658"</f>
        <v>CHRN-AR-20001658</v>
      </c>
      <c r="O285" s="12" t="str">
        <f>"KT001216"</f>
        <v>KT001216</v>
      </c>
      <c r="P285" s="13" t="str">
        <f>"Mediq Suisse AG"</f>
        <v>Mediq Suisse AG</v>
      </c>
    </row>
    <row r="286" spans="1:16" x14ac:dyDescent="0.15">
      <c r="A286" s="11" t="str">
        <f>"8030.0"</f>
        <v>8030.0</v>
      </c>
      <c r="B286" s="12" t="str">
        <f>"Curibag Beinbeutel|Push-Pull|schräg|500ml10cm"</f>
        <v>Curibag Beinbeutel|Push-Pull|schräg|500ml10cm</v>
      </c>
      <c r="C286" s="12" t="str">
        <f>"MDR Risikoklasse I"</f>
        <v>MDR Risikoklasse I</v>
      </c>
      <c r="D286" s="12" t="str">
        <f>"KT000099"</f>
        <v>KT000099</v>
      </c>
      <c r="E286" s="12" t="str">
        <f>"MEDIQ MEDECO"</f>
        <v>MEDIQ MEDECO</v>
      </c>
      <c r="F286" s="12" t="str">
        <f>"Brandpuntlaan Zuid 14"</f>
        <v>Brandpuntlaan Zuid 14</v>
      </c>
      <c r="G286" s="12" t="str">
        <f>"NL-2665 NZ"</f>
        <v>NL-2665 NZ</v>
      </c>
      <c r="H286" s="12" t="str">
        <f>"Bleiswijk"</f>
        <v>Bleiswijk</v>
      </c>
      <c r="I286" s="12" t="str">
        <f>"KT001216"</f>
        <v>KT001216</v>
      </c>
      <c r="J286" s="12" t="str">
        <f>"Mediq Suisse AG"</f>
        <v>Mediq Suisse AG</v>
      </c>
      <c r="K286" s="12" t="str">
        <f>"Rosengartenstrasse 25"</f>
        <v>Rosengartenstrasse 25</v>
      </c>
      <c r="L286" s="12" t="str">
        <f>"CH-8608"</f>
        <v>CH-8608</v>
      </c>
      <c r="M286" s="12" t="str">
        <f>"Bubikon"</f>
        <v>Bubikon</v>
      </c>
      <c r="N286" s="12" t="str">
        <f>"CHRN-AR-20001658"</f>
        <v>CHRN-AR-20001658</v>
      </c>
      <c r="O286" s="12" t="str">
        <f>"KT001216"</f>
        <v>KT001216</v>
      </c>
      <c r="P286" s="13" t="str">
        <f>"Mediq Suisse AG"</f>
        <v>Mediq Suisse AG</v>
      </c>
    </row>
    <row r="287" spans="1:16" x14ac:dyDescent="0.15">
      <c r="A287" s="11" t="str">
        <f>"8034.0"</f>
        <v>8034.0</v>
      </c>
      <c r="B287" s="12" t="str">
        <f>"Curibag Beinbeutel|Push-Pull|gerade|500ml45cm"</f>
        <v>Curibag Beinbeutel|Push-Pull|gerade|500ml45cm</v>
      </c>
      <c r="C287" s="12" t="str">
        <f>"MDR Risikoklasse I"</f>
        <v>MDR Risikoklasse I</v>
      </c>
      <c r="D287" s="12" t="str">
        <f>"KT000099"</f>
        <v>KT000099</v>
      </c>
      <c r="E287" s="12" t="str">
        <f>"MEDIQ MEDECO"</f>
        <v>MEDIQ MEDECO</v>
      </c>
      <c r="F287" s="12" t="str">
        <f>"Brandpuntlaan Zuid 14"</f>
        <v>Brandpuntlaan Zuid 14</v>
      </c>
      <c r="G287" s="12" t="str">
        <f>"NL-2665 NZ"</f>
        <v>NL-2665 NZ</v>
      </c>
      <c r="H287" s="12" t="str">
        <f>"Bleiswijk"</f>
        <v>Bleiswijk</v>
      </c>
      <c r="I287" s="12" t="str">
        <f>"KT001216"</f>
        <v>KT001216</v>
      </c>
      <c r="J287" s="12" t="str">
        <f>"Mediq Suisse AG"</f>
        <v>Mediq Suisse AG</v>
      </c>
      <c r="K287" s="12" t="str">
        <f>"Rosengartenstrasse 25"</f>
        <v>Rosengartenstrasse 25</v>
      </c>
      <c r="L287" s="12" t="str">
        <f>"CH-8608"</f>
        <v>CH-8608</v>
      </c>
      <c r="M287" s="12" t="str">
        <f>"Bubikon"</f>
        <v>Bubikon</v>
      </c>
      <c r="N287" s="12" t="str">
        <f>"CHRN-AR-20001658"</f>
        <v>CHRN-AR-20001658</v>
      </c>
      <c r="O287" s="12" t="str">
        <f>"KT001216"</f>
        <v>KT001216</v>
      </c>
      <c r="P287" s="13" t="str">
        <f>"Mediq Suisse AG"</f>
        <v>Mediq Suisse AG</v>
      </c>
    </row>
    <row r="288" spans="1:16" x14ac:dyDescent="0.15">
      <c r="A288" s="11" t="str">
        <f>"8044.0"</f>
        <v>8044.0</v>
      </c>
      <c r="B288" s="12" t="str">
        <f>"Fixierbänder für Urin-Beutel aus Velcro"</f>
        <v>Fixierbänder für Urin-Beutel aus Velcro</v>
      </c>
      <c r="C288" s="12" t="str">
        <f>"MDR Risikoklasse I"</f>
        <v>MDR Risikoklasse I</v>
      </c>
      <c r="D288" s="12" t="str">
        <f>"KT000099"</f>
        <v>KT000099</v>
      </c>
      <c r="E288" s="12" t="str">
        <f>"MEDIQ MEDECO"</f>
        <v>MEDIQ MEDECO</v>
      </c>
      <c r="F288" s="12" t="str">
        <f>"Brandpuntlaan Zuid 14"</f>
        <v>Brandpuntlaan Zuid 14</v>
      </c>
      <c r="G288" s="12" t="str">
        <f>"NL-2665 NZ"</f>
        <v>NL-2665 NZ</v>
      </c>
      <c r="H288" s="12" t="str">
        <f>"Bleiswijk"</f>
        <v>Bleiswijk</v>
      </c>
      <c r="I288" s="12" t="str">
        <f>"KT001216"</f>
        <v>KT001216</v>
      </c>
      <c r="J288" s="12" t="str">
        <f>"Mediq Suisse AG"</f>
        <v>Mediq Suisse AG</v>
      </c>
      <c r="K288" s="12" t="str">
        <f>"Rosengartenstrasse 25"</f>
        <v>Rosengartenstrasse 25</v>
      </c>
      <c r="L288" s="12" t="str">
        <f>"CH-8608"</f>
        <v>CH-8608</v>
      </c>
      <c r="M288" s="12" t="str">
        <f>"Bubikon"</f>
        <v>Bubikon</v>
      </c>
      <c r="N288" s="12" t="str">
        <f>"CHRN-AR-20001658"</f>
        <v>CHRN-AR-20001658</v>
      </c>
      <c r="O288" s="12" t="str">
        <f>"KT001216"</f>
        <v>KT001216</v>
      </c>
      <c r="P288" s="13" t="str">
        <f>"Mediq Suisse AG"</f>
        <v>Mediq Suisse AG</v>
      </c>
    </row>
    <row r="289" spans="1:16" x14ac:dyDescent="0.15">
      <c r="A289" s="11" t="str">
        <f>"8070.0"</f>
        <v>8070.0</v>
      </c>
      <c r="B289" s="12" t="str">
        <f>"Curibag Urinbeutel|kein Ablauf|1500ml|90cm|unsteril"</f>
        <v>Curibag Urinbeutel|kein Ablauf|1500ml|90cm|unsteril</v>
      </c>
      <c r="C289" s="12" t="str">
        <f>"MDR Risikoklasse I"</f>
        <v>MDR Risikoklasse I</v>
      </c>
      <c r="D289" s="12" t="str">
        <f>"KT000099"</f>
        <v>KT000099</v>
      </c>
      <c r="E289" s="12" t="str">
        <f>"MEDIQ MEDECO"</f>
        <v>MEDIQ MEDECO</v>
      </c>
      <c r="F289" s="12" t="str">
        <f>"Brandpuntlaan Zuid 14"</f>
        <v>Brandpuntlaan Zuid 14</v>
      </c>
      <c r="G289" s="12" t="str">
        <f>"NL-2665 NZ"</f>
        <v>NL-2665 NZ</v>
      </c>
      <c r="H289" s="12" t="str">
        <f>"Bleiswijk"</f>
        <v>Bleiswijk</v>
      </c>
      <c r="I289" s="12" t="str">
        <f>"KT001216"</f>
        <v>KT001216</v>
      </c>
      <c r="J289" s="12" t="str">
        <f>"Mediq Suisse AG"</f>
        <v>Mediq Suisse AG</v>
      </c>
      <c r="K289" s="12" t="str">
        <f>"Rosengartenstrasse 25"</f>
        <v>Rosengartenstrasse 25</v>
      </c>
      <c r="L289" s="12" t="str">
        <f>"CH-8608"</f>
        <v>CH-8608</v>
      </c>
      <c r="M289" s="12" t="str">
        <f>"Bubikon"</f>
        <v>Bubikon</v>
      </c>
      <c r="N289" s="12" t="str">
        <f>"CHRN-AR-20001658"</f>
        <v>CHRN-AR-20001658</v>
      </c>
      <c r="O289" s="12" t="str">
        <f>"KT001216"</f>
        <v>KT001216</v>
      </c>
      <c r="P289" s="13" t="str">
        <f>"Mediq Suisse AG"</f>
        <v>Mediq Suisse AG</v>
      </c>
    </row>
    <row r="290" spans="1:16" x14ac:dyDescent="0.15">
      <c r="A290" s="11" t="str">
        <f>"8074.0"</f>
        <v>8074.0</v>
      </c>
      <c r="B290" s="12" t="str">
        <f>"Curibag Urinbeutel|kein Ablauf|1500ml|10cm|unsteril"</f>
        <v>Curibag Urinbeutel|kein Ablauf|1500ml|10cm|unsteril</v>
      </c>
      <c r="C290" s="12" t="str">
        <f>"MDR Risikoklasse I"</f>
        <v>MDR Risikoklasse I</v>
      </c>
      <c r="D290" s="12" t="str">
        <f>"KT000099"</f>
        <v>KT000099</v>
      </c>
      <c r="E290" s="12" t="str">
        <f>"MEDIQ MEDECO"</f>
        <v>MEDIQ MEDECO</v>
      </c>
      <c r="F290" s="12" t="str">
        <f>"Brandpuntlaan Zuid 14"</f>
        <v>Brandpuntlaan Zuid 14</v>
      </c>
      <c r="G290" s="12" t="str">
        <f>"NL-2665 NZ"</f>
        <v>NL-2665 NZ</v>
      </c>
      <c r="H290" s="12" t="str">
        <f>"Bleiswijk"</f>
        <v>Bleiswijk</v>
      </c>
      <c r="I290" s="12" t="str">
        <f>"KT001216"</f>
        <v>KT001216</v>
      </c>
      <c r="J290" s="12" t="str">
        <f>"Mediq Suisse AG"</f>
        <v>Mediq Suisse AG</v>
      </c>
      <c r="K290" s="12" t="str">
        <f>"Rosengartenstrasse 25"</f>
        <v>Rosengartenstrasse 25</v>
      </c>
      <c r="L290" s="12" t="str">
        <f>"CH-8608"</f>
        <v>CH-8608</v>
      </c>
      <c r="M290" s="12" t="str">
        <f>"Bubikon"</f>
        <v>Bubikon</v>
      </c>
      <c r="N290" s="12" t="str">
        <f>"CHRN-AR-20001658"</f>
        <v>CHRN-AR-20001658</v>
      </c>
      <c r="O290" s="12" t="str">
        <f>"KT001216"</f>
        <v>KT001216</v>
      </c>
      <c r="P290" s="13" t="str">
        <f>"Mediq Suisse AG"</f>
        <v>Mediq Suisse AG</v>
      </c>
    </row>
    <row r="291" spans="1:16" x14ac:dyDescent="0.15">
      <c r="A291" s="11" t="str">
        <f>"8075.0"</f>
        <v>8075.0</v>
      </c>
      <c r="B291" s="12" t="str">
        <f>"FitSlip Super"</f>
        <v>FitSlip Super</v>
      </c>
      <c r="C291" s="12" t="str">
        <f>"MDR Risikoklasse I"</f>
        <v>MDR Risikoklasse I</v>
      </c>
      <c r="D291" s="12" t="str">
        <f>"KT000099"</f>
        <v>KT000099</v>
      </c>
      <c r="E291" s="12" t="str">
        <f>"MEDIQ MEDECO"</f>
        <v>MEDIQ MEDECO</v>
      </c>
      <c r="F291" s="12" t="str">
        <f>"Brandpuntlaan Zuid 14"</f>
        <v>Brandpuntlaan Zuid 14</v>
      </c>
      <c r="G291" s="12" t="str">
        <f>"NL-2665 NZ"</f>
        <v>NL-2665 NZ</v>
      </c>
      <c r="H291" s="12" t="str">
        <f>"Bleiswijk"</f>
        <v>Bleiswijk</v>
      </c>
      <c r="I291" s="12" t="str">
        <f>"KT001216"</f>
        <v>KT001216</v>
      </c>
      <c r="J291" s="12" t="str">
        <f>"Mediq Suisse AG"</f>
        <v>Mediq Suisse AG</v>
      </c>
      <c r="K291" s="12" t="str">
        <f>"Rosengartenstrasse 25"</f>
        <v>Rosengartenstrasse 25</v>
      </c>
      <c r="L291" s="12" t="str">
        <f>"CH-8608"</f>
        <v>CH-8608</v>
      </c>
      <c r="M291" s="12" t="str">
        <f>"Bubikon"</f>
        <v>Bubikon</v>
      </c>
      <c r="N291" s="12" t="str">
        <f>"CHRN-AR-20001658"</f>
        <v>CHRN-AR-20001658</v>
      </c>
      <c r="O291" s="12" t="str">
        <f>"KT001216"</f>
        <v>KT001216</v>
      </c>
      <c r="P291" s="13" t="str">
        <f>"Mediq Suisse AG"</f>
        <v>Mediq Suisse AG</v>
      </c>
    </row>
    <row r="292" spans="1:16" x14ac:dyDescent="0.15">
      <c r="A292" s="11" t="str">
        <f>"8078.0"</f>
        <v>8078.0</v>
      </c>
      <c r="B292" s="12" t="str">
        <f>"Curibag Urinbeutel|Push-Pull|2000ml|90cm|unsteril"</f>
        <v>Curibag Urinbeutel|Push-Pull|2000ml|90cm|unsteril</v>
      </c>
      <c r="C292" s="12" t="str">
        <f>"MDR Risikoklasse I"</f>
        <v>MDR Risikoklasse I</v>
      </c>
      <c r="D292" s="12" t="str">
        <f>"KT000099"</f>
        <v>KT000099</v>
      </c>
      <c r="E292" s="12" t="str">
        <f>"MEDIQ MEDECO"</f>
        <v>MEDIQ MEDECO</v>
      </c>
      <c r="F292" s="12" t="str">
        <f>"Brandpuntlaan Zuid 14"</f>
        <v>Brandpuntlaan Zuid 14</v>
      </c>
      <c r="G292" s="12" t="str">
        <f>"NL-2665 NZ"</f>
        <v>NL-2665 NZ</v>
      </c>
      <c r="H292" s="12" t="str">
        <f>"Bleiswijk"</f>
        <v>Bleiswijk</v>
      </c>
      <c r="I292" s="12" t="str">
        <f>"KT001216"</f>
        <v>KT001216</v>
      </c>
      <c r="J292" s="12" t="str">
        <f>"Mediq Suisse AG"</f>
        <v>Mediq Suisse AG</v>
      </c>
      <c r="K292" s="12" t="str">
        <f>"Rosengartenstrasse 25"</f>
        <v>Rosengartenstrasse 25</v>
      </c>
      <c r="L292" s="12" t="str">
        <f>"CH-8608"</f>
        <v>CH-8608</v>
      </c>
      <c r="M292" s="12" t="str">
        <f>"Bubikon"</f>
        <v>Bubikon</v>
      </c>
      <c r="N292" s="12" t="str">
        <f>"CHRN-AR-20001658"</f>
        <v>CHRN-AR-20001658</v>
      </c>
      <c r="O292" s="12" t="str">
        <f>"KT001216"</f>
        <v>KT001216</v>
      </c>
      <c r="P292" s="13" t="str">
        <f>"Mediq Suisse AG"</f>
        <v>Mediq Suisse AG</v>
      </c>
    </row>
    <row r="293" spans="1:16" x14ac:dyDescent="0.15">
      <c r="A293" s="11" t="str">
        <f>"82079"</f>
        <v>82079</v>
      </c>
      <c r="B293" s="12" t="str">
        <f>"Cathereeplus Folie|60x80mm"</f>
        <v>Cathereeplus Folie|60x80mm</v>
      </c>
      <c r="C293" s="12" t="str">
        <f>"MDR Risikoklasse Is"</f>
        <v>MDR Risikoklasse Is</v>
      </c>
      <c r="D293" s="12" t="str">
        <f>"KT000098"</f>
        <v>KT000098</v>
      </c>
      <c r="E293" s="12" t="str">
        <f>"Nichiban Co. Ltd."</f>
        <v>Nichiban Co. Ltd.</v>
      </c>
      <c r="F293" s="12" t="str">
        <f>"2-3-3 Sekiguchi"</f>
        <v>2-3-3 Sekiguchi</v>
      </c>
      <c r="G293" s="12" t="str">
        <f>"JP-112-8663"</f>
        <v>JP-112-8663</v>
      </c>
      <c r="H293" s="12" t="str">
        <f>"TOKYO"</f>
        <v>TOKYO</v>
      </c>
      <c r="I293" s="12" t="str">
        <f>"KT005665"</f>
        <v>KT005665</v>
      </c>
      <c r="J293" s="12" t="str">
        <f>"MedEnvoy Switzerland"</f>
        <v>MedEnvoy Switzerland</v>
      </c>
      <c r="K293" s="12" t="str">
        <f>"Gotthardstrasse 28"</f>
        <v>Gotthardstrasse 28</v>
      </c>
      <c r="L293" s="12" t="str">
        <f>"CH-6302"</f>
        <v>CH-6302</v>
      </c>
      <c r="M293" s="12" t="str">
        <f>"Zug"</f>
        <v>Zug</v>
      </c>
      <c r="N293" s="12" t="str">
        <f>"CHRN-AR-20000310"</f>
        <v>CHRN-AR-20000310</v>
      </c>
      <c r="O293" s="12" t="str">
        <f>"KT001216"</f>
        <v>KT001216</v>
      </c>
      <c r="P293" s="13" t="str">
        <f>"Mediq Suisse AG"</f>
        <v>Mediq Suisse AG</v>
      </c>
    </row>
    <row r="294" spans="1:16" x14ac:dyDescent="0.15">
      <c r="A294" s="11" t="str">
        <f>"82093"</f>
        <v>82093</v>
      </c>
      <c r="B294" s="12" t="str">
        <f>"Cathereeplus Folie|110x140mm|25x1"</f>
        <v>Cathereeplus Folie|110x140mm|25x1</v>
      </c>
      <c r="C294" s="12" t="str">
        <f>"MDR Risikoklasse Is"</f>
        <v>MDR Risikoklasse Is</v>
      </c>
      <c r="D294" s="12" t="str">
        <f>"KT000098"</f>
        <v>KT000098</v>
      </c>
      <c r="E294" s="12" t="str">
        <f>"Nichiban Co. Ltd."</f>
        <v>Nichiban Co. Ltd.</v>
      </c>
      <c r="F294" s="12" t="str">
        <f>"2-3-3 Sekiguchi"</f>
        <v>2-3-3 Sekiguchi</v>
      </c>
      <c r="G294" s="12" t="str">
        <f>"JP-112-8663"</f>
        <v>JP-112-8663</v>
      </c>
      <c r="H294" s="12" t="str">
        <f>"TOKYO"</f>
        <v>TOKYO</v>
      </c>
      <c r="I294" s="12" t="str">
        <f>"KT005665"</f>
        <v>KT005665</v>
      </c>
      <c r="J294" s="12" t="str">
        <f>"MedEnvoy Switzerland"</f>
        <v>MedEnvoy Switzerland</v>
      </c>
      <c r="K294" s="12" t="str">
        <f>"Gotthardstrasse 28"</f>
        <v>Gotthardstrasse 28</v>
      </c>
      <c r="L294" s="12" t="str">
        <f>"CH-6302"</f>
        <v>CH-6302</v>
      </c>
      <c r="M294" s="12" t="str">
        <f>"Zug"</f>
        <v>Zug</v>
      </c>
      <c r="N294" s="12" t="str">
        <f>"CHRN-AR-20000310"</f>
        <v>CHRN-AR-20000310</v>
      </c>
      <c r="O294" s="12" t="str">
        <f>"KT001216"</f>
        <v>KT001216</v>
      </c>
      <c r="P294" s="13" t="str">
        <f>"Mediq Suisse AG"</f>
        <v>Mediq Suisse AG</v>
      </c>
    </row>
    <row r="295" spans="1:16" x14ac:dyDescent="0.15">
      <c r="A295" s="11" t="str">
        <f>"82192"</f>
        <v>82192</v>
      </c>
      <c r="B295" s="12" t="str">
        <f>"Cathereeplus I.V. Slit|80x95mm|44x51mm"</f>
        <v>Cathereeplus I.V. Slit|80x95mm|44x51mm</v>
      </c>
      <c r="C295" s="12" t="str">
        <f>"MDR Risikoklasse Is"</f>
        <v>MDR Risikoklasse Is</v>
      </c>
      <c r="D295" s="12" t="str">
        <f>"KT000098"</f>
        <v>KT000098</v>
      </c>
      <c r="E295" s="12" t="str">
        <f>"Nichiban Co. Ltd."</f>
        <v>Nichiban Co. Ltd.</v>
      </c>
      <c r="F295" s="12" t="str">
        <f>"2-3-3 Sekiguchi"</f>
        <v>2-3-3 Sekiguchi</v>
      </c>
      <c r="G295" s="12" t="str">
        <f>"JP-112-8663"</f>
        <v>JP-112-8663</v>
      </c>
      <c r="H295" s="12" t="str">
        <f>"TOKYO"</f>
        <v>TOKYO</v>
      </c>
      <c r="I295" s="12" t="str">
        <f>"KT005665"</f>
        <v>KT005665</v>
      </c>
      <c r="J295" s="12" t="str">
        <f>"MedEnvoy Switzerland"</f>
        <v>MedEnvoy Switzerland</v>
      </c>
      <c r="K295" s="12" t="str">
        <f>"Gotthardstrasse 28"</f>
        <v>Gotthardstrasse 28</v>
      </c>
      <c r="L295" s="12" t="str">
        <f>"CH-6302"</f>
        <v>CH-6302</v>
      </c>
      <c r="M295" s="12" t="str">
        <f>"Zug"</f>
        <v>Zug</v>
      </c>
      <c r="N295" s="12" t="str">
        <f>"CHRN-AR-20000310"</f>
        <v>CHRN-AR-20000310</v>
      </c>
      <c r="O295" s="12" t="str">
        <f>"KT001216"</f>
        <v>KT001216</v>
      </c>
      <c r="P295" s="13" t="str">
        <f>"Mediq Suisse AG"</f>
        <v>Mediq Suisse AG</v>
      </c>
    </row>
    <row r="296" spans="1:16" x14ac:dyDescent="0.15">
      <c r="A296" s="11" t="str">
        <f>"82208"</f>
        <v>82208</v>
      </c>
      <c r="B296" s="12" t="str">
        <f>"Cathereeplus Roll|5cmx10m"</f>
        <v>Cathereeplus Roll|5cmx10m</v>
      </c>
      <c r="C296" s="12" t="str">
        <f>"MDR Risikoklasse I"</f>
        <v>MDR Risikoklasse I</v>
      </c>
      <c r="D296" s="12" t="str">
        <f>"KT000098"</f>
        <v>KT000098</v>
      </c>
      <c r="E296" s="12" t="str">
        <f>"Nichiban Co. Ltd."</f>
        <v>Nichiban Co. Ltd.</v>
      </c>
      <c r="F296" s="12" t="str">
        <f>"2-3-3 Sekiguchi"</f>
        <v>2-3-3 Sekiguchi</v>
      </c>
      <c r="G296" s="12" t="str">
        <f>"JP-112-8663"</f>
        <v>JP-112-8663</v>
      </c>
      <c r="H296" s="12" t="str">
        <f>"TOKYO"</f>
        <v>TOKYO</v>
      </c>
      <c r="I296" s="12" t="str">
        <f>"KT005665"</f>
        <v>KT005665</v>
      </c>
      <c r="J296" s="12" t="str">
        <f>"MedEnvoy Switzerland"</f>
        <v>MedEnvoy Switzerland</v>
      </c>
      <c r="K296" s="12" t="str">
        <f>"Gotthardstrasse 28"</f>
        <v>Gotthardstrasse 28</v>
      </c>
      <c r="L296" s="12" t="str">
        <f>"CH-6302"</f>
        <v>CH-6302</v>
      </c>
      <c r="M296" s="12" t="str">
        <f>"Zug"</f>
        <v>Zug</v>
      </c>
      <c r="N296" s="12" t="str">
        <f>"CHRN-AR-20000310"</f>
        <v>CHRN-AR-20000310</v>
      </c>
      <c r="O296" s="12" t="str">
        <f>"KT001216"</f>
        <v>KT001216</v>
      </c>
      <c r="P296" s="13" t="str">
        <f>"Mediq Suisse AG"</f>
        <v>Mediq Suisse AG</v>
      </c>
    </row>
    <row r="297" spans="1:16" x14ac:dyDescent="0.15">
      <c r="A297" s="11" t="str">
        <f>"82215"</f>
        <v>82215</v>
      </c>
      <c r="B297" s="12" t="str">
        <f>"Cathereeplus Roll|10cmx10m"</f>
        <v>Cathereeplus Roll|10cmx10m</v>
      </c>
      <c r="C297" s="12" t="str">
        <f>"MDR Risikoklasse I"</f>
        <v>MDR Risikoklasse I</v>
      </c>
      <c r="D297" s="12" t="str">
        <f>"KT000098"</f>
        <v>KT000098</v>
      </c>
      <c r="E297" s="12" t="str">
        <f>"Nichiban Co. Ltd."</f>
        <v>Nichiban Co. Ltd.</v>
      </c>
      <c r="F297" s="12" t="str">
        <f>"2-3-3 Sekiguchi"</f>
        <v>2-3-3 Sekiguchi</v>
      </c>
      <c r="G297" s="12" t="str">
        <f>"JP-112-8663"</f>
        <v>JP-112-8663</v>
      </c>
      <c r="H297" s="12" t="str">
        <f>"TOKYO"</f>
        <v>TOKYO</v>
      </c>
      <c r="I297" s="12" t="str">
        <f>"KT005665"</f>
        <v>KT005665</v>
      </c>
      <c r="J297" s="12" t="str">
        <f>"MedEnvoy Switzerland"</f>
        <v>MedEnvoy Switzerland</v>
      </c>
      <c r="K297" s="12" t="str">
        <f>"Gotthardstrasse 28"</f>
        <v>Gotthardstrasse 28</v>
      </c>
      <c r="L297" s="12" t="str">
        <f>"CH-6302"</f>
        <v>CH-6302</v>
      </c>
      <c r="M297" s="12" t="str">
        <f>"Zug"</f>
        <v>Zug</v>
      </c>
      <c r="N297" s="12" t="str">
        <f>"CHRN-AR-20000310"</f>
        <v>CHRN-AR-20000310</v>
      </c>
      <c r="O297" s="12" t="str">
        <f>"KT001216"</f>
        <v>KT001216</v>
      </c>
      <c r="P297" s="13" t="str">
        <f>"Mediq Suisse AG"</f>
        <v>Mediq Suisse AG</v>
      </c>
    </row>
    <row r="298" spans="1:16" x14ac:dyDescent="0.15">
      <c r="A298" s="11" t="str">
        <f>"82215-M"</f>
        <v>82215-M</v>
      </c>
      <c r="B298" s="12" t="str">
        <f>"Cathereeplus Folie|10cmx15cm"</f>
        <v>Cathereeplus Folie|10cmx15cm</v>
      </c>
      <c r="C298" s="12" t="str">
        <f>"MDR Risikoklasse Is"</f>
        <v>MDR Risikoklasse Is</v>
      </c>
      <c r="D298" s="12" t="str">
        <f>"KT000098"</f>
        <v>KT000098</v>
      </c>
      <c r="E298" s="12" t="str">
        <f>"Nichiban Co. Ltd."</f>
        <v>Nichiban Co. Ltd.</v>
      </c>
      <c r="F298" s="12" t="str">
        <f>"2-3-3 Sekiguchi"</f>
        <v>2-3-3 Sekiguchi</v>
      </c>
      <c r="G298" s="12" t="str">
        <f>"JP-112-8663"</f>
        <v>JP-112-8663</v>
      </c>
      <c r="H298" s="12" t="str">
        <f>"TOKYO"</f>
        <v>TOKYO</v>
      </c>
      <c r="I298" s="12" t="str">
        <f>"KT005665"</f>
        <v>KT005665</v>
      </c>
      <c r="J298" s="12" t="str">
        <f>"MedEnvoy Switzerland"</f>
        <v>MedEnvoy Switzerland</v>
      </c>
      <c r="K298" s="12" t="str">
        <f>"Gotthardstrasse 28"</f>
        <v>Gotthardstrasse 28</v>
      </c>
      <c r="L298" s="12" t="str">
        <f>"CH-6302"</f>
        <v>CH-6302</v>
      </c>
      <c r="M298" s="12" t="str">
        <f>"Zug"</f>
        <v>Zug</v>
      </c>
      <c r="N298" s="12" t="str">
        <f>"CHRN-AR-20000310"</f>
        <v>CHRN-AR-20000310</v>
      </c>
      <c r="O298" s="12" t="str">
        <f>"KT001216"</f>
        <v>KT001216</v>
      </c>
      <c r="P298" s="13" t="str">
        <f>"Mediq Suisse AG"</f>
        <v>Mediq Suisse AG</v>
      </c>
    </row>
    <row r="299" spans="1:16" x14ac:dyDescent="0.15">
      <c r="A299" s="11" t="str">
        <f>"82222"</f>
        <v>82222</v>
      </c>
      <c r="B299" s="12" t="str">
        <f>"Cathereeplus Roll|15cmx10m"</f>
        <v>Cathereeplus Roll|15cmx10m</v>
      </c>
      <c r="C299" s="12" t="str">
        <f>"MDR Risikoklasse I"</f>
        <v>MDR Risikoklasse I</v>
      </c>
      <c r="D299" s="12" t="str">
        <f>"KT000098"</f>
        <v>KT000098</v>
      </c>
      <c r="E299" s="12" t="str">
        <f>"Nichiban Co. Ltd."</f>
        <v>Nichiban Co. Ltd.</v>
      </c>
      <c r="F299" s="12" t="str">
        <f>"2-3-3 Sekiguchi"</f>
        <v>2-3-3 Sekiguchi</v>
      </c>
      <c r="G299" s="12" t="str">
        <f>"JP-112-8663"</f>
        <v>JP-112-8663</v>
      </c>
      <c r="H299" s="12" t="str">
        <f>"TOKYO"</f>
        <v>TOKYO</v>
      </c>
      <c r="I299" s="12" t="str">
        <f>"KT005665"</f>
        <v>KT005665</v>
      </c>
      <c r="J299" s="12" t="str">
        <f>"MedEnvoy Switzerland"</f>
        <v>MedEnvoy Switzerland</v>
      </c>
      <c r="K299" s="12" t="str">
        <f>"Gotthardstrasse 28"</f>
        <v>Gotthardstrasse 28</v>
      </c>
      <c r="L299" s="12" t="str">
        <f>"CH-6302"</f>
        <v>CH-6302</v>
      </c>
      <c r="M299" s="12" t="str">
        <f>"Zug"</f>
        <v>Zug</v>
      </c>
      <c r="N299" s="12" t="str">
        <f>"CHRN-AR-20000310"</f>
        <v>CHRN-AR-20000310</v>
      </c>
      <c r="O299" s="12" t="str">
        <f>"KT001216"</f>
        <v>KT001216</v>
      </c>
      <c r="P299" s="13" t="str">
        <f>"Mediq Suisse AG"</f>
        <v>Mediq Suisse AG</v>
      </c>
    </row>
    <row r="300" spans="1:16" x14ac:dyDescent="0.15">
      <c r="A300" s="11" t="str">
        <f>"8400.0"</f>
        <v>8400.0</v>
      </c>
      <c r="B300" s="12" t="str">
        <f>"Kreuzventil für Blasenkatheter|steril"</f>
        <v>Kreuzventil für Blasenkatheter|steril</v>
      </c>
      <c r="C300" s="12" t="str">
        <f>"MDR Risikoklasse Is"</f>
        <v>MDR Risikoklasse Is</v>
      </c>
      <c r="D300" s="12" t="str">
        <f>"KT000099"</f>
        <v>KT000099</v>
      </c>
      <c r="E300" s="12" t="str">
        <f>"MEDIQ MEDECO"</f>
        <v>MEDIQ MEDECO</v>
      </c>
      <c r="F300" s="12" t="str">
        <f>"Brandpuntlaan Zuid 14"</f>
        <v>Brandpuntlaan Zuid 14</v>
      </c>
      <c r="G300" s="12" t="str">
        <f>"NL-2665 NZ"</f>
        <v>NL-2665 NZ</v>
      </c>
      <c r="H300" s="12" t="str">
        <f>"Bleiswijk"</f>
        <v>Bleiswijk</v>
      </c>
      <c r="I300" s="12" t="str">
        <f>"KT001216"</f>
        <v>KT001216</v>
      </c>
      <c r="J300" s="12" t="str">
        <f>"Mediq Suisse AG"</f>
        <v>Mediq Suisse AG</v>
      </c>
      <c r="K300" s="12" t="str">
        <f>"Rosengartenstrasse 25"</f>
        <v>Rosengartenstrasse 25</v>
      </c>
      <c r="L300" s="12" t="str">
        <f>"CH-8608"</f>
        <v>CH-8608</v>
      </c>
      <c r="M300" s="12" t="str">
        <f>"Bubikon"</f>
        <v>Bubikon</v>
      </c>
      <c r="N300" s="12" t="str">
        <f>"CHRN-AR-20001658"</f>
        <v>CHRN-AR-20001658</v>
      </c>
      <c r="O300" s="12" t="str">
        <f>"KT001216"</f>
        <v>KT001216</v>
      </c>
      <c r="P300" s="13" t="str">
        <f>"Mediq Suisse AG"</f>
        <v>Mediq Suisse AG</v>
      </c>
    </row>
    <row r="301" spans="1:16" x14ac:dyDescent="0.15">
      <c r="A301" s="11" t="str">
        <f>"8758.0"</f>
        <v>8758.0</v>
      </c>
      <c r="B301" s="12" t="str">
        <f>"Curibag Urinbeutel|Kreuzventil|2000ml|110cm|unsteril"</f>
        <v>Curibag Urinbeutel|Kreuzventil|2000ml|110cm|unsteril</v>
      </c>
      <c r="C301" s="12" t="str">
        <f>"MDR Risikoklasse I"</f>
        <v>MDR Risikoklasse I</v>
      </c>
      <c r="D301" s="12" t="str">
        <f>"KT000099"</f>
        <v>KT000099</v>
      </c>
      <c r="E301" s="12" t="str">
        <f>"MEDIQ MEDECO"</f>
        <v>MEDIQ MEDECO</v>
      </c>
      <c r="F301" s="12" t="str">
        <f>"Brandpuntlaan Zuid 14"</f>
        <v>Brandpuntlaan Zuid 14</v>
      </c>
      <c r="G301" s="12" t="str">
        <f>"NL-2665 NZ"</f>
        <v>NL-2665 NZ</v>
      </c>
      <c r="H301" s="12" t="str">
        <f>"Bleiswijk"</f>
        <v>Bleiswijk</v>
      </c>
      <c r="I301" s="12" t="str">
        <f>"KT001216"</f>
        <v>KT001216</v>
      </c>
      <c r="J301" s="12" t="str">
        <f>"Mediq Suisse AG"</f>
        <v>Mediq Suisse AG</v>
      </c>
      <c r="K301" s="12" t="str">
        <f>"Rosengartenstrasse 25"</f>
        <v>Rosengartenstrasse 25</v>
      </c>
      <c r="L301" s="12" t="str">
        <f>"CH-8608"</f>
        <v>CH-8608</v>
      </c>
      <c r="M301" s="12" t="str">
        <f>"Bubikon"</f>
        <v>Bubikon</v>
      </c>
      <c r="N301" s="12" t="str">
        <f>"CHRN-AR-20001658"</f>
        <v>CHRN-AR-20001658</v>
      </c>
      <c r="O301" s="12" t="str">
        <f>"KT001216"</f>
        <v>KT001216</v>
      </c>
      <c r="P301" s="13" t="str">
        <f>"Mediq Suisse AG"</f>
        <v>Mediq Suisse AG</v>
      </c>
    </row>
    <row r="302" spans="1:16" x14ac:dyDescent="0.15">
      <c r="A302" s="11" t="str">
        <f>"8916.1"</f>
        <v>8916.1</v>
      </c>
      <c r="B302" s="12" t="str">
        <f>"Urinbeutelhalter|Kunststoff|blau|unsteril"</f>
        <v>Urinbeutelhalter|Kunststoff|blau|unsteril</v>
      </c>
      <c r="C302" s="12" t="str">
        <f>"MDR Risikoklasse I"</f>
        <v>MDR Risikoklasse I</v>
      </c>
      <c r="D302" s="12" t="str">
        <f>"KT000099"</f>
        <v>KT000099</v>
      </c>
      <c r="E302" s="12" t="str">
        <f>"MEDIQ MEDECO"</f>
        <v>MEDIQ MEDECO</v>
      </c>
      <c r="F302" s="12" t="str">
        <f>"Brandpuntlaan Zuid 14"</f>
        <v>Brandpuntlaan Zuid 14</v>
      </c>
      <c r="G302" s="12" t="str">
        <f>"NL-2665 NZ"</f>
        <v>NL-2665 NZ</v>
      </c>
      <c r="H302" s="12" t="str">
        <f>"Bleiswijk"</f>
        <v>Bleiswijk</v>
      </c>
      <c r="I302" s="12" t="str">
        <f>"KT001216"</f>
        <v>KT001216</v>
      </c>
      <c r="J302" s="12" t="str">
        <f>"Mediq Suisse AG"</f>
        <v>Mediq Suisse AG</v>
      </c>
      <c r="K302" s="12" t="str">
        <f>"Rosengartenstrasse 25"</f>
        <v>Rosengartenstrasse 25</v>
      </c>
      <c r="L302" s="12" t="str">
        <f>"CH-8608"</f>
        <v>CH-8608</v>
      </c>
      <c r="M302" s="12" t="str">
        <f>"Bubikon"</f>
        <v>Bubikon</v>
      </c>
      <c r="N302" s="12" t="str">
        <f>"CHRN-AR-20001658"</f>
        <v>CHRN-AR-20001658</v>
      </c>
      <c r="O302" s="12" t="str">
        <f>"KT001216"</f>
        <v>KT001216</v>
      </c>
      <c r="P302" s="13" t="str">
        <f>"Mediq Suisse AG"</f>
        <v>Mediq Suisse AG</v>
      </c>
    </row>
    <row r="303" spans="1:16" x14ac:dyDescent="0.15">
      <c r="A303" s="11" t="str">
        <f>"8920.0"</f>
        <v>8920.0</v>
      </c>
      <c r="B303" s="12" t="str">
        <f>"Uribag für Männer"</f>
        <v>Uribag für Männer</v>
      </c>
      <c r="C303" s="12" t="str">
        <f>"MDR Risikoklasse I"</f>
        <v>MDR Risikoklasse I</v>
      </c>
      <c r="D303" s="12" t="str">
        <f>"KT000099"</f>
        <v>KT000099</v>
      </c>
      <c r="E303" s="12" t="str">
        <f>"MEDIQ MEDECO"</f>
        <v>MEDIQ MEDECO</v>
      </c>
      <c r="F303" s="12" t="str">
        <f>"Brandpuntlaan Zuid 14"</f>
        <v>Brandpuntlaan Zuid 14</v>
      </c>
      <c r="G303" s="12" t="str">
        <f>"NL-2665 NZ"</f>
        <v>NL-2665 NZ</v>
      </c>
      <c r="H303" s="12" t="str">
        <f>"Bleiswijk"</f>
        <v>Bleiswijk</v>
      </c>
      <c r="I303" s="12" t="str">
        <f>"KT001216"</f>
        <v>KT001216</v>
      </c>
      <c r="J303" s="12" t="str">
        <f>"Mediq Suisse AG"</f>
        <v>Mediq Suisse AG</v>
      </c>
      <c r="K303" s="12" t="str">
        <f>"Rosengartenstrasse 25"</f>
        <v>Rosengartenstrasse 25</v>
      </c>
      <c r="L303" s="12" t="str">
        <f>"CH-8608"</f>
        <v>CH-8608</v>
      </c>
      <c r="M303" s="12" t="str">
        <f>"Bubikon"</f>
        <v>Bubikon</v>
      </c>
      <c r="N303" s="12" t="str">
        <f>"CHRN-AR-20001658"</f>
        <v>CHRN-AR-20001658</v>
      </c>
      <c r="O303" s="12" t="str">
        <f>"KT001216"</f>
        <v>KT001216</v>
      </c>
      <c r="P303" s="13" t="str">
        <f>"Mediq Suisse AG"</f>
        <v>Mediq Suisse AG</v>
      </c>
    </row>
    <row r="304" spans="1:16" x14ac:dyDescent="0.15">
      <c r="A304" s="11" t="str">
        <f>"8930.0"</f>
        <v>8930.0</v>
      </c>
      <c r="B304" s="12" t="str">
        <f>"Uribag für Frauen"</f>
        <v>Uribag für Frauen</v>
      </c>
      <c r="C304" s="12" t="str">
        <f>"MDR Risikoklasse I"</f>
        <v>MDR Risikoklasse I</v>
      </c>
      <c r="D304" s="12" t="str">
        <f>"KT000099"</f>
        <v>KT000099</v>
      </c>
      <c r="E304" s="12" t="str">
        <f>"MEDIQ MEDECO"</f>
        <v>MEDIQ MEDECO</v>
      </c>
      <c r="F304" s="12" t="str">
        <f>"Brandpuntlaan Zuid 14"</f>
        <v>Brandpuntlaan Zuid 14</v>
      </c>
      <c r="G304" s="12" t="str">
        <f>"NL-2665 NZ"</f>
        <v>NL-2665 NZ</v>
      </c>
      <c r="H304" s="12" t="str">
        <f>"Bleiswijk"</f>
        <v>Bleiswijk</v>
      </c>
      <c r="I304" s="12" t="str">
        <f>"KT001216"</f>
        <v>KT001216</v>
      </c>
      <c r="J304" s="12" t="str">
        <f>"Mediq Suisse AG"</f>
        <v>Mediq Suisse AG</v>
      </c>
      <c r="K304" s="12" t="str">
        <f>"Rosengartenstrasse 25"</f>
        <v>Rosengartenstrasse 25</v>
      </c>
      <c r="L304" s="12" t="str">
        <f>"CH-8608"</f>
        <v>CH-8608</v>
      </c>
      <c r="M304" s="12" t="str">
        <f>"Bubikon"</f>
        <v>Bubikon</v>
      </c>
      <c r="N304" s="12" t="str">
        <f>"CHRN-AR-20001658"</f>
        <v>CHRN-AR-20001658</v>
      </c>
      <c r="O304" s="12" t="str">
        <f>"KT001216"</f>
        <v>KT001216</v>
      </c>
      <c r="P304" s="13" t="str">
        <f>"Mediq Suisse AG"</f>
        <v>Mediq Suisse AG</v>
      </c>
    </row>
    <row r="305" spans="1:16" x14ac:dyDescent="0.15">
      <c r="A305" s="11" t="str">
        <f>"9052436-7"</f>
        <v>9052436-7</v>
      </c>
      <c r="B305" s="12" t="str">
        <f>"Tubifast Schlauchverband grün|Umfang 14-24cm|5cmx10m"</f>
        <v>Tubifast Schlauchverband grün|Umfang 14-24cm|5cmx10m</v>
      </c>
      <c r="C305" s="12" t="str">
        <f>"MDR Risikoklasse I"</f>
        <v>MDR Risikoklasse I</v>
      </c>
      <c r="D305" s="12" t="str">
        <f>"KT000099"</f>
        <v>KT000099</v>
      </c>
      <c r="E305" s="12" t="str">
        <f>"MEDIQ MEDECO"</f>
        <v>MEDIQ MEDECO</v>
      </c>
      <c r="F305" s="12" t="str">
        <f>"Brandpuntlaan Zuid 14"</f>
        <v>Brandpuntlaan Zuid 14</v>
      </c>
      <c r="G305" s="12" t="str">
        <f>"NL-2665 NZ"</f>
        <v>NL-2665 NZ</v>
      </c>
      <c r="H305" s="12" t="str">
        <f>"Bleiswijk"</f>
        <v>Bleiswijk</v>
      </c>
      <c r="I305" s="12" t="str">
        <f>"KT001216"</f>
        <v>KT001216</v>
      </c>
      <c r="J305" s="12" t="str">
        <f>"Mediq Suisse AG"</f>
        <v>Mediq Suisse AG</v>
      </c>
      <c r="K305" s="12" t="str">
        <f>"Rosengartenstrasse 25"</f>
        <v>Rosengartenstrasse 25</v>
      </c>
      <c r="L305" s="12" t="str">
        <f>"CH-8608"</f>
        <v>CH-8608</v>
      </c>
      <c r="M305" s="12" t="str">
        <f>"Bubikon"</f>
        <v>Bubikon</v>
      </c>
      <c r="N305" s="12" t="str">
        <f>"CHRN-AR-20001658"</f>
        <v>CHRN-AR-20001658</v>
      </c>
      <c r="O305" s="12" t="str">
        <f>"KT001216"</f>
        <v>KT001216</v>
      </c>
      <c r="P305" s="13" t="str">
        <f>"Mediq Suisse AG"</f>
        <v>Mediq Suisse AG</v>
      </c>
    </row>
    <row r="306" spans="1:16" x14ac:dyDescent="0.15">
      <c r="A306" s="11" t="str">
        <f>"9052438-7"</f>
        <v>9052438-7</v>
      </c>
      <c r="B306" s="12" t="str">
        <f>"Tubifast Schlauchverband blau|Umfang 24-40cm|7.5cm x 10m"</f>
        <v>Tubifast Schlauchverband blau|Umfang 24-40cm|7.5cm x 10m</v>
      </c>
      <c r="C306" s="12" t="str">
        <f>"MDR Risikoklasse I"</f>
        <v>MDR Risikoklasse I</v>
      </c>
      <c r="D306" s="12" t="str">
        <f>"KT000099"</f>
        <v>KT000099</v>
      </c>
      <c r="E306" s="12" t="str">
        <f>"MEDIQ MEDECO"</f>
        <v>MEDIQ MEDECO</v>
      </c>
      <c r="F306" s="12" t="str">
        <f>"Brandpuntlaan Zuid 14"</f>
        <v>Brandpuntlaan Zuid 14</v>
      </c>
      <c r="G306" s="12" t="str">
        <f>"NL-2665 NZ"</f>
        <v>NL-2665 NZ</v>
      </c>
      <c r="H306" s="12" t="str">
        <f>"Bleiswijk"</f>
        <v>Bleiswijk</v>
      </c>
      <c r="I306" s="12" t="str">
        <f>"KT001216"</f>
        <v>KT001216</v>
      </c>
      <c r="J306" s="12" t="str">
        <f>"Mediq Suisse AG"</f>
        <v>Mediq Suisse AG</v>
      </c>
      <c r="K306" s="12" t="str">
        <f>"Rosengartenstrasse 25"</f>
        <v>Rosengartenstrasse 25</v>
      </c>
      <c r="L306" s="12" t="str">
        <f>"CH-8608"</f>
        <v>CH-8608</v>
      </c>
      <c r="M306" s="12" t="str">
        <f>"Bubikon"</f>
        <v>Bubikon</v>
      </c>
      <c r="N306" s="12" t="str">
        <f>"CHRN-AR-20001658"</f>
        <v>CHRN-AR-20001658</v>
      </c>
      <c r="O306" s="12" t="str">
        <f>"KT001216"</f>
        <v>KT001216</v>
      </c>
      <c r="P306" s="13" t="str">
        <f>"Mediq Suisse AG"</f>
        <v>Mediq Suisse AG</v>
      </c>
    </row>
    <row r="307" spans="1:16" x14ac:dyDescent="0.15">
      <c r="A307" s="11" t="str">
        <f>"9052440-7"</f>
        <v>9052440-7</v>
      </c>
      <c r="B307" s="12" t="str">
        <f>"Tubifast Schlauchverband gelb|Umfang 35-64cm|10.75cmx10m"</f>
        <v>Tubifast Schlauchverband gelb|Umfang 35-64cm|10.75cmx10m</v>
      </c>
      <c r="C307" s="12" t="str">
        <f>"MDR Risikoklasse I"</f>
        <v>MDR Risikoklasse I</v>
      </c>
      <c r="D307" s="12" t="str">
        <f>"KT000099"</f>
        <v>KT000099</v>
      </c>
      <c r="E307" s="12" t="str">
        <f>"MEDIQ MEDECO"</f>
        <v>MEDIQ MEDECO</v>
      </c>
      <c r="F307" s="12" t="str">
        <f>"Brandpuntlaan Zuid 14"</f>
        <v>Brandpuntlaan Zuid 14</v>
      </c>
      <c r="G307" s="12" t="str">
        <f>"NL-2665 NZ"</f>
        <v>NL-2665 NZ</v>
      </c>
      <c r="H307" s="12" t="str">
        <f>"Bleiswijk"</f>
        <v>Bleiswijk</v>
      </c>
      <c r="I307" s="12" t="str">
        <f>"KT001216"</f>
        <v>KT001216</v>
      </c>
      <c r="J307" s="12" t="str">
        <f>"Mediq Suisse AG"</f>
        <v>Mediq Suisse AG</v>
      </c>
      <c r="K307" s="12" t="str">
        <f>"Rosengartenstrasse 25"</f>
        <v>Rosengartenstrasse 25</v>
      </c>
      <c r="L307" s="12" t="str">
        <f>"CH-8608"</f>
        <v>CH-8608</v>
      </c>
      <c r="M307" s="12" t="str">
        <f>"Bubikon"</f>
        <v>Bubikon</v>
      </c>
      <c r="N307" s="12" t="str">
        <f>"CHRN-AR-20001658"</f>
        <v>CHRN-AR-20001658</v>
      </c>
      <c r="O307" s="12" t="str">
        <f>"KT001216"</f>
        <v>KT001216</v>
      </c>
      <c r="P307" s="13" t="str">
        <f>"Mediq Suisse AG"</f>
        <v>Mediq Suisse AG</v>
      </c>
    </row>
    <row r="308" spans="1:16" x14ac:dyDescent="0.15">
      <c r="A308" s="11" t="str">
        <f>"9052444-7"</f>
        <v>9052444-7</v>
      </c>
      <c r="B308" s="12" t="str">
        <f>"Tubifast Schlauchverband violett|Umf.64-130cm|20cmx10m"</f>
        <v>Tubifast Schlauchverband violett|Umf.64-130cm|20cmx10m</v>
      </c>
      <c r="C308" s="12" t="str">
        <f>"MDR Risikoklasse I"</f>
        <v>MDR Risikoklasse I</v>
      </c>
      <c r="D308" s="12" t="str">
        <f>"KT000099"</f>
        <v>KT000099</v>
      </c>
      <c r="E308" s="12" t="str">
        <f>"MEDIQ MEDECO"</f>
        <v>MEDIQ MEDECO</v>
      </c>
      <c r="F308" s="12" t="str">
        <f>"Brandpuntlaan Zuid 14"</f>
        <v>Brandpuntlaan Zuid 14</v>
      </c>
      <c r="G308" s="12" t="str">
        <f>"NL-2665 NZ"</f>
        <v>NL-2665 NZ</v>
      </c>
      <c r="H308" s="12" t="str">
        <f>"Bleiswijk"</f>
        <v>Bleiswijk</v>
      </c>
      <c r="I308" s="12" t="str">
        <f>"KT001216"</f>
        <v>KT001216</v>
      </c>
      <c r="J308" s="12" t="str">
        <f>"Mediq Suisse AG"</f>
        <v>Mediq Suisse AG</v>
      </c>
      <c r="K308" s="12" t="str">
        <f>"Rosengartenstrasse 25"</f>
        <v>Rosengartenstrasse 25</v>
      </c>
      <c r="L308" s="12" t="str">
        <f>"CH-8608"</f>
        <v>CH-8608</v>
      </c>
      <c r="M308" s="12" t="str">
        <f>"Bubikon"</f>
        <v>Bubikon</v>
      </c>
      <c r="N308" s="12" t="str">
        <f>"CHRN-AR-20001658"</f>
        <v>CHRN-AR-20001658</v>
      </c>
      <c r="O308" s="12" t="str">
        <f>"KT001216"</f>
        <v>KT001216</v>
      </c>
      <c r="P308" s="13" t="str">
        <f>"Mediq Suisse AG"</f>
        <v>Mediq Suisse AG</v>
      </c>
    </row>
    <row r="309" spans="1:16" x14ac:dyDescent="0.15">
      <c r="A309" s="11" t="str">
        <f>"ACE-AMD-STAND"</f>
        <v>ACE-AMD-STAND</v>
      </c>
      <c r="B309" s="12" t="str">
        <f>"AutoMer Geräteständer"</f>
        <v>AutoMer Geräteständer</v>
      </c>
      <c r="C309" s="12" t="str">
        <f>"MDR Risikoklasse IIb"</f>
        <v>MDR Risikoklasse IIb</v>
      </c>
      <c r="D309" s="12" t="str">
        <f>"KO16040"</f>
        <v>KO16040</v>
      </c>
      <c r="E309" s="12" t="str">
        <f>"ACE Medical Corporation Ltd"</f>
        <v>ACE Medical Corporation Ltd</v>
      </c>
      <c r="F309" s="12" t="str">
        <f>"2F, Imun-Ro, Dongdaemun-Gu"</f>
        <v>2F, Imun-Ro, Dongdaemun-Gu</v>
      </c>
      <c r="G309" s="12" t="str">
        <f>"KR-02461"</f>
        <v>KR-02461</v>
      </c>
      <c r="H309" s="12" t="str">
        <f>"Seoul"</f>
        <v>Seoul</v>
      </c>
      <c r="I309" s="12" t="str">
        <f>"KT005665"</f>
        <v>KT005665</v>
      </c>
      <c r="J309" s="12" t="str">
        <f>"MedEnvoy Switzerland"</f>
        <v>MedEnvoy Switzerland</v>
      </c>
      <c r="K309" s="12" t="str">
        <f>"Gotthardstrasse 28"</f>
        <v>Gotthardstrasse 28</v>
      </c>
      <c r="L309" s="12" t="str">
        <f>"CH-6302"</f>
        <v>CH-6302</v>
      </c>
      <c r="M309" s="12" t="str">
        <f>"Zug"</f>
        <v>Zug</v>
      </c>
      <c r="N309" s="12" t="str">
        <f>"CHRN-AR-20000310"</f>
        <v>CHRN-AR-20000310</v>
      </c>
      <c r="O309" s="12" t="str">
        <f>"KT001216"</f>
        <v>KT001216</v>
      </c>
      <c r="P309" s="13" t="str">
        <f>"Mediq Suisse AG"</f>
        <v>Mediq Suisse AG</v>
      </c>
    </row>
    <row r="310" spans="1:16" x14ac:dyDescent="0.15">
      <c r="A310" s="11" t="str">
        <f>"ACE-APSP13"</f>
        <v>ACE-APSP13</v>
      </c>
      <c r="B310" s="12" t="str">
        <f>"ACE Left Holder Ass'y for AutoPC 2"</f>
        <v>ACE Left Holder Ass'y for AutoPC 2</v>
      </c>
      <c r="C310" s="12" t="str">
        <f>"MDR Risikoklasse IIb"</f>
        <v>MDR Risikoklasse IIb</v>
      </c>
      <c r="D310" s="12" t="str">
        <f>"KO16040"</f>
        <v>KO16040</v>
      </c>
      <c r="E310" s="12" t="str">
        <f>"ACE Medical Corporation Ltd"</f>
        <v>ACE Medical Corporation Ltd</v>
      </c>
      <c r="F310" s="12" t="str">
        <f>"2F, Imun-Ro, Dongdaemun-Gu"</f>
        <v>2F, Imun-Ro, Dongdaemun-Gu</v>
      </c>
      <c r="G310" s="12" t="str">
        <f>"KR-02461"</f>
        <v>KR-02461</v>
      </c>
      <c r="H310" s="12" t="str">
        <f>"Seoul"</f>
        <v>Seoul</v>
      </c>
      <c r="I310" s="12" t="str">
        <f>"KT005665"</f>
        <v>KT005665</v>
      </c>
      <c r="J310" s="12" t="str">
        <f>"MedEnvoy Switzerland"</f>
        <v>MedEnvoy Switzerland</v>
      </c>
      <c r="K310" s="12" t="str">
        <f>"Gotthardstrasse 28"</f>
        <v>Gotthardstrasse 28</v>
      </c>
      <c r="L310" s="12" t="str">
        <f>"CH-6302"</f>
        <v>CH-6302</v>
      </c>
      <c r="M310" s="12" t="str">
        <f>"Zug"</f>
        <v>Zug</v>
      </c>
      <c r="N310" s="12" t="str">
        <f>"CHRN-AR-20000310"</f>
        <v>CHRN-AR-20000310</v>
      </c>
      <c r="O310" s="12" t="str">
        <f>"KT001216"</f>
        <v>KT001216</v>
      </c>
      <c r="P310" s="13" t="str">
        <f>"Mediq Suisse AG"</f>
        <v>Mediq Suisse AG</v>
      </c>
    </row>
    <row r="311" spans="1:16" x14ac:dyDescent="0.15">
      <c r="A311" s="11" t="str">
        <f>"ACE-APSP14"</f>
        <v>ACE-APSP14</v>
      </c>
      <c r="B311" s="12" t="str">
        <f>"ACE Right Holder Ass'y for AutoPC 2"</f>
        <v>ACE Right Holder Ass'y for AutoPC 2</v>
      </c>
      <c r="C311" s="12" t="str">
        <f>"MDR Risikoklasse IIb"</f>
        <v>MDR Risikoklasse IIb</v>
      </c>
      <c r="D311" s="12" t="str">
        <f>"KO16040"</f>
        <v>KO16040</v>
      </c>
      <c r="E311" s="12" t="str">
        <f>"ACE Medical Corporation Ltd"</f>
        <v>ACE Medical Corporation Ltd</v>
      </c>
      <c r="F311" s="12" t="str">
        <f>"2F, Imun-Ro, Dongdaemun-Gu"</f>
        <v>2F, Imun-Ro, Dongdaemun-Gu</v>
      </c>
      <c r="G311" s="12" t="str">
        <f>"KR-02461"</f>
        <v>KR-02461</v>
      </c>
      <c r="H311" s="12" t="str">
        <f>"Seoul"</f>
        <v>Seoul</v>
      </c>
      <c r="I311" s="12" t="str">
        <f>"KT005665"</f>
        <v>KT005665</v>
      </c>
      <c r="J311" s="12" t="str">
        <f>"MedEnvoy Switzerland"</f>
        <v>MedEnvoy Switzerland</v>
      </c>
      <c r="K311" s="12" t="str">
        <f>"Gotthardstrasse 28"</f>
        <v>Gotthardstrasse 28</v>
      </c>
      <c r="L311" s="12" t="str">
        <f>"CH-6302"</f>
        <v>CH-6302</v>
      </c>
      <c r="M311" s="12" t="str">
        <f>"Zug"</f>
        <v>Zug</v>
      </c>
      <c r="N311" s="12" t="str">
        <f>"CHRN-AR-20000310"</f>
        <v>CHRN-AR-20000310</v>
      </c>
      <c r="O311" s="12" t="str">
        <f>"KT001216"</f>
        <v>KT001216</v>
      </c>
      <c r="P311" s="13" t="str">
        <f>"Mediq Suisse AG"</f>
        <v>Mediq Suisse AG</v>
      </c>
    </row>
    <row r="312" spans="1:16" x14ac:dyDescent="0.15">
      <c r="A312" s="11" t="str">
        <f>"ACE-E2MZ00001"</f>
        <v>ACE-E2MZ00001</v>
      </c>
      <c r="B312" s="12" t="str">
        <f>"AutoMer II Blut- und Infusions Wärmegerät"</f>
        <v>AutoMer II Blut- und Infusions Wärmegerät</v>
      </c>
      <c r="C312" s="12" t="str">
        <f>"MDR Risikoklasse IIb"</f>
        <v>MDR Risikoklasse IIb</v>
      </c>
      <c r="D312" s="12" t="str">
        <f>"KO16040"</f>
        <v>KO16040</v>
      </c>
      <c r="E312" s="12" t="str">
        <f>"ACE Medical Corporation Ltd"</f>
        <v>ACE Medical Corporation Ltd</v>
      </c>
      <c r="F312" s="12" t="str">
        <f>"2F, Imun-Ro, Dongdaemun-Gu"</f>
        <v>2F, Imun-Ro, Dongdaemun-Gu</v>
      </c>
      <c r="G312" s="12" t="str">
        <f>"KR-02461"</f>
        <v>KR-02461</v>
      </c>
      <c r="H312" s="12" t="str">
        <f>"Seoul"</f>
        <v>Seoul</v>
      </c>
      <c r="I312" s="12" t="str">
        <f>"KT005665"</f>
        <v>KT005665</v>
      </c>
      <c r="J312" s="12" t="str">
        <f>"MedEnvoy Switzerland"</f>
        <v>MedEnvoy Switzerland</v>
      </c>
      <c r="K312" s="12" t="str">
        <f>"Gotthardstrasse 28"</f>
        <v>Gotthardstrasse 28</v>
      </c>
      <c r="L312" s="12" t="str">
        <f>"CH-6302"</f>
        <v>CH-6302</v>
      </c>
      <c r="M312" s="12" t="str">
        <f>"Zug"</f>
        <v>Zug</v>
      </c>
      <c r="N312" s="12" t="str">
        <f>"CHRN-AR-20000310"</f>
        <v>CHRN-AR-20000310</v>
      </c>
      <c r="O312" s="12" t="str">
        <f>"KT001216"</f>
        <v>KT001216</v>
      </c>
      <c r="P312" s="13" t="str">
        <f>"Mediq Suisse AG"</f>
        <v>Mediq Suisse AG</v>
      </c>
    </row>
    <row r="313" spans="1:16" x14ac:dyDescent="0.15">
      <c r="A313" s="11" t="str">
        <f>"ACE-E2PC40001"</f>
        <v>ACE-E2PC40001</v>
      </c>
      <c r="B313" s="12" t="str">
        <f>"AutoPC II Batterie Druckkammer Single"</f>
        <v>AutoPC II Batterie Druckkammer Single</v>
      </c>
      <c r="C313" s="12" t="str">
        <f>"MDR Risikoklasse IIb"</f>
        <v>MDR Risikoklasse IIb</v>
      </c>
      <c r="D313" s="12" t="str">
        <f>"KO16040"</f>
        <v>KO16040</v>
      </c>
      <c r="E313" s="12" t="str">
        <f>"ACE Medical Corporation Ltd"</f>
        <v>ACE Medical Corporation Ltd</v>
      </c>
      <c r="F313" s="12" t="str">
        <f>"2F, Imun-Ro, Dongdaemun-Gu"</f>
        <v>2F, Imun-Ro, Dongdaemun-Gu</v>
      </c>
      <c r="G313" s="12" t="str">
        <f>"KR-02461"</f>
        <v>KR-02461</v>
      </c>
      <c r="H313" s="12" t="str">
        <f>"Seoul"</f>
        <v>Seoul</v>
      </c>
      <c r="I313" s="12" t="str">
        <f>"KT005665"</f>
        <v>KT005665</v>
      </c>
      <c r="J313" s="12" t="str">
        <f>"MedEnvoy Switzerland"</f>
        <v>MedEnvoy Switzerland</v>
      </c>
      <c r="K313" s="12" t="str">
        <f>"Gotthardstrasse 28"</f>
        <v>Gotthardstrasse 28</v>
      </c>
      <c r="L313" s="12" t="str">
        <f>"CH-6302"</f>
        <v>CH-6302</v>
      </c>
      <c r="M313" s="12" t="str">
        <f>"Zug"</f>
        <v>Zug</v>
      </c>
      <c r="N313" s="12" t="str">
        <f>"CHRN-AR-20000310"</f>
        <v>CHRN-AR-20000310</v>
      </c>
      <c r="O313" s="12" t="str">
        <f>"KT001216"</f>
        <v>KT001216</v>
      </c>
      <c r="P313" s="13" t="str">
        <f>"Mediq Suisse AG"</f>
        <v>Mediq Suisse AG</v>
      </c>
    </row>
    <row r="314" spans="1:16" x14ac:dyDescent="0.15">
      <c r="A314" s="11" t="str">
        <f>"ACE-E2PD40001"</f>
        <v>ACE-E2PD40001</v>
      </c>
      <c r="B314" s="12" t="str">
        <f>"AutoPC II Batterie Doppel-Druckkammer"</f>
        <v>AutoPC II Batterie Doppel-Druckkammer</v>
      </c>
      <c r="C314" s="12" t="str">
        <f>"MDR Risikoklasse IIb"</f>
        <v>MDR Risikoklasse IIb</v>
      </c>
      <c r="D314" s="12" t="str">
        <f>"KO16040"</f>
        <v>KO16040</v>
      </c>
      <c r="E314" s="12" t="str">
        <f>"ACE Medical Corporation Ltd"</f>
        <v>ACE Medical Corporation Ltd</v>
      </c>
      <c r="F314" s="12" t="str">
        <f>"2F, Imun-Ro, Dongdaemun-Gu"</f>
        <v>2F, Imun-Ro, Dongdaemun-Gu</v>
      </c>
      <c r="G314" s="12" t="str">
        <f>"KR-02461"</f>
        <v>KR-02461</v>
      </c>
      <c r="H314" s="12" t="str">
        <f>"Seoul"</f>
        <v>Seoul</v>
      </c>
      <c r="I314" s="12" t="str">
        <f>"KT005665"</f>
        <v>KT005665</v>
      </c>
      <c r="J314" s="12" t="str">
        <f>"MedEnvoy Switzerland"</f>
        <v>MedEnvoy Switzerland</v>
      </c>
      <c r="K314" s="12" t="str">
        <f>"Gotthardstrasse 28"</f>
        <v>Gotthardstrasse 28</v>
      </c>
      <c r="L314" s="12" t="str">
        <f>"CH-6302"</f>
        <v>CH-6302</v>
      </c>
      <c r="M314" s="12" t="str">
        <f>"Zug"</f>
        <v>Zug</v>
      </c>
      <c r="N314" s="12" t="str">
        <f>"CHRN-AR-20000310"</f>
        <v>CHRN-AR-20000310</v>
      </c>
      <c r="O314" s="12" t="str">
        <f>"KT001216"</f>
        <v>KT001216</v>
      </c>
      <c r="P314" s="13" t="str">
        <f>"Mediq Suisse AG"</f>
        <v>Mediq Suisse AG</v>
      </c>
    </row>
    <row r="315" spans="1:16" x14ac:dyDescent="0.15">
      <c r="A315" s="11" t="str">
        <f>"ACE-EMKZ00001"</f>
        <v>ACE-EMKZ00001</v>
      </c>
      <c r="B315" s="12" t="str">
        <f>"Maintenance KIT for Ace Warming System II"</f>
        <v>Maintenance KIT for Ace Warming System II</v>
      </c>
      <c r="C315" s="12" t="str">
        <f>"MDR Risikoklasse III"</f>
        <v>MDR Risikoklasse III</v>
      </c>
      <c r="D315" s="12" t="str">
        <f>"KO16040"</f>
        <v>KO16040</v>
      </c>
      <c r="E315" s="12" t="str">
        <f>"ACE Medical Corporation Ltd"</f>
        <v>ACE Medical Corporation Ltd</v>
      </c>
      <c r="F315" s="12" t="str">
        <f>"2F, Imun-Ro, Dongdaemun-Gu"</f>
        <v>2F, Imun-Ro, Dongdaemun-Gu</v>
      </c>
      <c r="G315" s="12" t="str">
        <f>"KR-02461"</f>
        <v>KR-02461</v>
      </c>
      <c r="H315" s="12" t="str">
        <f>"Seoul"</f>
        <v>Seoul</v>
      </c>
      <c r="I315" s="12" t="str">
        <f>"KT005665"</f>
        <v>KT005665</v>
      </c>
      <c r="J315" s="12" t="str">
        <f>"MedEnvoy Switzerland"</f>
        <v>MedEnvoy Switzerland</v>
      </c>
      <c r="K315" s="12" t="str">
        <f>"Gotthardstrasse 28"</f>
        <v>Gotthardstrasse 28</v>
      </c>
      <c r="L315" s="12" t="str">
        <f>"CH-6302"</f>
        <v>CH-6302</v>
      </c>
      <c r="M315" s="12" t="str">
        <f>"Zug"</f>
        <v>Zug</v>
      </c>
      <c r="N315" s="12" t="str">
        <f>"CHRN-AR-20000310"</f>
        <v>CHRN-AR-20000310</v>
      </c>
      <c r="O315" s="12" t="str">
        <f>"KT001216"</f>
        <v>KT001216</v>
      </c>
      <c r="P315" s="13" t="str">
        <f>"Mediq Suisse AG"</f>
        <v>Mediq Suisse AG</v>
      </c>
    </row>
    <row r="316" spans="1:16" x14ac:dyDescent="0.15">
      <c r="A316" s="11" t="str">
        <f>"ACE-KM2K00001"</f>
        <v>ACE-KM2K00001</v>
      </c>
      <c r="B316" s="12" t="str">
        <f>"AutoMer II Standard Wärmeset"</f>
        <v>AutoMer II Standard Wärmeset</v>
      </c>
      <c r="C316" s="12" t="str">
        <f>"MDR Risikoklasse IIa"</f>
        <v>MDR Risikoklasse IIa</v>
      </c>
      <c r="D316" s="12" t="str">
        <f>"KO16040"</f>
        <v>KO16040</v>
      </c>
      <c r="E316" s="12" t="str">
        <f>"ACE Medical Corporation Ltd"</f>
        <v>ACE Medical Corporation Ltd</v>
      </c>
      <c r="F316" s="12" t="str">
        <f>"2F, Imun-Ro, Dongdaemun-Gu"</f>
        <v>2F, Imun-Ro, Dongdaemun-Gu</v>
      </c>
      <c r="G316" s="12" t="str">
        <f>"KR-02461"</f>
        <v>KR-02461</v>
      </c>
      <c r="H316" s="12" t="str">
        <f>"Seoul"</f>
        <v>Seoul</v>
      </c>
      <c r="I316" s="12" t="str">
        <f>"KT005665"</f>
        <v>KT005665</v>
      </c>
      <c r="J316" s="12" t="str">
        <f>"MedEnvoy Switzerland"</f>
        <v>MedEnvoy Switzerland</v>
      </c>
      <c r="K316" s="12" t="str">
        <f>"Gotthardstrasse 28"</f>
        <v>Gotthardstrasse 28</v>
      </c>
      <c r="L316" s="12" t="str">
        <f>"CH-6302"</f>
        <v>CH-6302</v>
      </c>
      <c r="M316" s="12" t="str">
        <f>"Zug"</f>
        <v>Zug</v>
      </c>
      <c r="N316" s="12" t="str">
        <f>"CHRN-AR-20000310"</f>
        <v>CHRN-AR-20000310</v>
      </c>
      <c r="O316" s="12" t="str">
        <f>"KT001216"</f>
        <v>KT001216</v>
      </c>
      <c r="P316" s="13" t="str">
        <f>"Mediq Suisse AG"</f>
        <v>Mediq Suisse AG</v>
      </c>
    </row>
    <row r="317" spans="1:16" x14ac:dyDescent="0.15">
      <c r="A317" s="11" t="str">
        <f>"ACE-KM2M00001"</f>
        <v>ACE-KM2M00001</v>
      </c>
      <c r="B317" s="12" t="str">
        <f>"AutoMer II High Flow Wärmeset"</f>
        <v>AutoMer II High Flow Wärmeset</v>
      </c>
      <c r="C317" s="12" t="str">
        <f>"MDR Risikoklasse IIa"</f>
        <v>MDR Risikoklasse IIa</v>
      </c>
      <c r="D317" s="12" t="str">
        <f>"KO16040"</f>
        <v>KO16040</v>
      </c>
      <c r="E317" s="12" t="str">
        <f>"ACE Medical Corporation Ltd"</f>
        <v>ACE Medical Corporation Ltd</v>
      </c>
      <c r="F317" s="12" t="str">
        <f>"2F, Imun-Ro, Dongdaemun-Gu"</f>
        <v>2F, Imun-Ro, Dongdaemun-Gu</v>
      </c>
      <c r="G317" s="12" t="str">
        <f>"KR-02461"</f>
        <v>KR-02461</v>
      </c>
      <c r="H317" s="12" t="str">
        <f>"Seoul"</f>
        <v>Seoul</v>
      </c>
      <c r="I317" s="12" t="str">
        <f>"KT005665"</f>
        <v>KT005665</v>
      </c>
      <c r="J317" s="12" t="str">
        <f>"MedEnvoy Switzerland"</f>
        <v>MedEnvoy Switzerland</v>
      </c>
      <c r="K317" s="12" t="str">
        <f>"Gotthardstrasse 28"</f>
        <v>Gotthardstrasse 28</v>
      </c>
      <c r="L317" s="12" t="str">
        <f>"CH-6302"</f>
        <v>CH-6302</v>
      </c>
      <c r="M317" s="12" t="str">
        <f>"Zug"</f>
        <v>Zug</v>
      </c>
      <c r="N317" s="12" t="str">
        <f>"CHRN-AR-20000310"</f>
        <v>CHRN-AR-20000310</v>
      </c>
      <c r="O317" s="12" t="str">
        <f>"KT001216"</f>
        <v>KT001216</v>
      </c>
      <c r="P317" s="13" t="str">
        <f>"Mediq Suisse AG"</f>
        <v>Mediq Suisse AG</v>
      </c>
    </row>
    <row r="318" spans="1:16" x14ac:dyDescent="0.15">
      <c r="A318" s="11" t="str">
        <f>"ACE-MCPP006065"</f>
        <v>ACE-MCPP006065</v>
      </c>
      <c r="B318" s="12" t="str">
        <f>"ACE Connection cable 4to6 prongs"</f>
        <v>ACE Connection cable 4to6 prongs</v>
      </c>
      <c r="C318" s="12" t="str">
        <f>"MDR Risikoklasse IIb"</f>
        <v>MDR Risikoklasse IIb</v>
      </c>
      <c r="D318" s="12" t="str">
        <f>"KO16040"</f>
        <v>KO16040</v>
      </c>
      <c r="E318" s="12" t="str">
        <f>"ACE Medical Corporation Ltd"</f>
        <v>ACE Medical Corporation Ltd</v>
      </c>
      <c r="F318" s="12" t="str">
        <f>"2F, Imun-Ro, Dongdaemun-Gu"</f>
        <v>2F, Imun-Ro, Dongdaemun-Gu</v>
      </c>
      <c r="G318" s="12" t="str">
        <f>"KR-02461"</f>
        <v>KR-02461</v>
      </c>
      <c r="H318" s="12" t="str">
        <f>"Seoul"</f>
        <v>Seoul</v>
      </c>
      <c r="I318" s="12" t="str">
        <f>"KT005665"</f>
        <v>KT005665</v>
      </c>
      <c r="J318" s="12" t="str">
        <f>"MedEnvoy Switzerland"</f>
        <v>MedEnvoy Switzerland</v>
      </c>
      <c r="K318" s="12" t="str">
        <f>"Gotthardstrasse 28"</f>
        <v>Gotthardstrasse 28</v>
      </c>
      <c r="L318" s="12" t="str">
        <f>"CH-6302"</f>
        <v>CH-6302</v>
      </c>
      <c r="M318" s="12" t="str">
        <f>"Zug"</f>
        <v>Zug</v>
      </c>
      <c r="N318" s="12" t="str">
        <f>"CHRN-AR-20000310"</f>
        <v>CHRN-AR-20000310</v>
      </c>
      <c r="O318" s="12" t="str">
        <f>"KT001216"</f>
        <v>KT001216</v>
      </c>
      <c r="P318" s="13" t="str">
        <f>"Mediq Suisse AG"</f>
        <v>Mediq Suisse AG</v>
      </c>
    </row>
    <row r="319" spans="1:16" x14ac:dyDescent="0.15">
      <c r="A319" s="11" t="str">
        <f>"ACE-OCTZ00001"</f>
        <v>ACE-OCTZ00001</v>
      </c>
      <c r="B319" s="12" t="str">
        <f>"Cleaning Tool for AutoMerII"</f>
        <v>Cleaning Tool for AutoMerII</v>
      </c>
      <c r="C319" s="12" t="str">
        <f>"MDR Risikoklasse III"</f>
        <v>MDR Risikoklasse III</v>
      </c>
      <c r="D319" s="12" t="str">
        <f>"KO16040"</f>
        <v>KO16040</v>
      </c>
      <c r="E319" s="12" t="str">
        <f>"ACE Medical Corporation Ltd"</f>
        <v>ACE Medical Corporation Ltd</v>
      </c>
      <c r="F319" s="12" t="str">
        <f>"2F, Imun-Ro, Dongdaemun-Gu"</f>
        <v>2F, Imun-Ro, Dongdaemun-Gu</v>
      </c>
      <c r="G319" s="12" t="str">
        <f>"KR-02461"</f>
        <v>KR-02461</v>
      </c>
      <c r="H319" s="12" t="str">
        <f>"Seoul"</f>
        <v>Seoul</v>
      </c>
      <c r="I319" s="12" t="str">
        <f>"KT005665"</f>
        <v>KT005665</v>
      </c>
      <c r="J319" s="12" t="str">
        <f>"MedEnvoy Switzerland"</f>
        <v>MedEnvoy Switzerland</v>
      </c>
      <c r="K319" s="12" t="str">
        <f>"Gotthardstrasse 28"</f>
        <v>Gotthardstrasse 28</v>
      </c>
      <c r="L319" s="12" t="str">
        <f>"CH-6302"</f>
        <v>CH-6302</v>
      </c>
      <c r="M319" s="12" t="str">
        <f>"Zug"</f>
        <v>Zug</v>
      </c>
      <c r="N319" s="12" t="str">
        <f>"CHRN-AR-20000310"</f>
        <v>CHRN-AR-20000310</v>
      </c>
      <c r="O319" s="12" t="str">
        <f>"KT001216"</f>
        <v>KT001216</v>
      </c>
      <c r="P319" s="13" t="str">
        <f>"Mediq Suisse AG"</f>
        <v>Mediq Suisse AG</v>
      </c>
    </row>
    <row r="320" spans="1:16" x14ac:dyDescent="0.15">
      <c r="A320" s="11" t="str">
        <f>"ADV-CR3658"</f>
        <v>ADV-CR3658</v>
      </c>
      <c r="B320" s="12" t="str">
        <f>"Activon Tulle 10 cm x 10 cm"</f>
        <v>Activon Tulle 10 cm x 10 cm</v>
      </c>
      <c r="C320" s="12" t="str">
        <f>"MDR Risikoklasse IIb"</f>
        <v>MDR Risikoklasse IIb</v>
      </c>
      <c r="D320" s="12" t="str">
        <f>"KO15818"</f>
        <v>KO15818</v>
      </c>
      <c r="E320" s="12" t="str">
        <f>"Advancis Medical UK"</f>
        <v>Advancis Medical UK</v>
      </c>
      <c r="F320" s="12" t="str">
        <f>"Lowmoor Business Park"</f>
        <v>Lowmoor Business Park</v>
      </c>
      <c r="G320" s="12" t="str">
        <f>"GB-NG17 7JZ"</f>
        <v>GB-NG17 7JZ</v>
      </c>
      <c r="H320" s="12" t="str">
        <f>"Nottinghamshire"</f>
        <v>Nottinghamshire</v>
      </c>
      <c r="I320" s="12" t="str">
        <f>"KT007056"</f>
        <v>KT007056</v>
      </c>
      <c r="J320" s="12" t="str">
        <f>"Swiss AR Services GmbH"</f>
        <v>Swiss AR Services GmbH</v>
      </c>
      <c r="K320" s="12" t="str">
        <f>"Industriestrasse 47"</f>
        <v>Industriestrasse 47</v>
      </c>
      <c r="L320" s="12" t="str">
        <f>"CH-6300"</f>
        <v>CH-6300</v>
      </c>
      <c r="M320" s="12" t="str">
        <f>"Zug"</f>
        <v>Zug</v>
      </c>
      <c r="N320" s="12" t="str">
        <f>"CHRN-AR-20000807"</f>
        <v>CHRN-AR-20000807</v>
      </c>
      <c r="O320" s="12" t="str">
        <f>"KT001216"</f>
        <v>KT001216</v>
      </c>
      <c r="P320" s="13" t="str">
        <f>"Mediq Suisse AG"</f>
        <v>Mediq Suisse AG</v>
      </c>
    </row>
    <row r="321" spans="1:16" x14ac:dyDescent="0.15">
      <c r="A321" s="11" t="str">
        <f>"ADV-CR3743"</f>
        <v>ADV-CR3743</v>
      </c>
      <c r="B321" s="12" t="str">
        <f>"Eclypse Super Absorbent Dressing 20cm x 30cm"</f>
        <v>Eclypse Super Absorbent Dressing 20cm x 30cm</v>
      </c>
      <c r="C321" s="12" t="str">
        <f>"MDR Risikoklasse IIb"</f>
        <v>MDR Risikoklasse IIb</v>
      </c>
      <c r="D321" s="12" t="str">
        <f>"KO15818"</f>
        <v>KO15818</v>
      </c>
      <c r="E321" s="12" t="str">
        <f>"Advancis Medical UK"</f>
        <v>Advancis Medical UK</v>
      </c>
      <c r="F321" s="12" t="str">
        <f>"Lowmoor Business Park"</f>
        <v>Lowmoor Business Park</v>
      </c>
      <c r="G321" s="12" t="str">
        <f>"GB-NG17 7JZ"</f>
        <v>GB-NG17 7JZ</v>
      </c>
      <c r="H321" s="12" t="str">
        <f>"Nottinghamshire"</f>
        <v>Nottinghamshire</v>
      </c>
      <c r="I321" s="12" t="str">
        <f>"KT007056"</f>
        <v>KT007056</v>
      </c>
      <c r="J321" s="12" t="str">
        <f>"Swiss AR Services GmbH"</f>
        <v>Swiss AR Services GmbH</v>
      </c>
      <c r="K321" s="12" t="str">
        <f>"Industriestrasse 47"</f>
        <v>Industriestrasse 47</v>
      </c>
      <c r="L321" s="12" t="str">
        <f>"CH-6300"</f>
        <v>CH-6300</v>
      </c>
      <c r="M321" s="12" t="str">
        <f>"Zug"</f>
        <v>Zug</v>
      </c>
      <c r="N321" s="12" t="str">
        <f>"CHRN-AR-20000807"</f>
        <v>CHRN-AR-20000807</v>
      </c>
      <c r="O321" s="12" t="str">
        <f>"KT001216"</f>
        <v>KT001216</v>
      </c>
      <c r="P321" s="13" t="str">
        <f>"Mediq Suisse AG"</f>
        <v>Mediq Suisse AG</v>
      </c>
    </row>
    <row r="322" spans="1:16" x14ac:dyDescent="0.15">
      <c r="A322" s="11" t="str">
        <f>"ADV-CR3761"</f>
        <v>ADV-CR3761</v>
      </c>
      <c r="B322" s="12" t="str">
        <f>"Activon Tulle 5 cm x 5 cm"</f>
        <v>Activon Tulle 5 cm x 5 cm</v>
      </c>
      <c r="C322" s="12" t="str">
        <f>"MDR Risikoklasse IIb"</f>
        <v>MDR Risikoklasse IIb</v>
      </c>
      <c r="D322" s="12" t="str">
        <f>"KO15818"</f>
        <v>KO15818</v>
      </c>
      <c r="E322" s="12" t="str">
        <f>"Advancis Medical UK"</f>
        <v>Advancis Medical UK</v>
      </c>
      <c r="F322" s="12" t="str">
        <f>"Lowmoor Business Park"</f>
        <v>Lowmoor Business Park</v>
      </c>
      <c r="G322" s="12" t="str">
        <f>"GB-NG17 7JZ"</f>
        <v>GB-NG17 7JZ</v>
      </c>
      <c r="H322" s="12" t="str">
        <f>"Nottinghamshire"</f>
        <v>Nottinghamshire</v>
      </c>
      <c r="I322" s="12" t="str">
        <f>"KT007056"</f>
        <v>KT007056</v>
      </c>
      <c r="J322" s="12" t="str">
        <f>"Swiss AR Services GmbH"</f>
        <v>Swiss AR Services GmbH</v>
      </c>
      <c r="K322" s="12" t="str">
        <f>"Industriestrasse 47"</f>
        <v>Industriestrasse 47</v>
      </c>
      <c r="L322" s="12" t="str">
        <f>"CH-6300"</f>
        <v>CH-6300</v>
      </c>
      <c r="M322" s="12" t="str">
        <f>"Zug"</f>
        <v>Zug</v>
      </c>
      <c r="N322" s="12" t="str">
        <f>"CHRN-AR-20000807"</f>
        <v>CHRN-AR-20000807</v>
      </c>
      <c r="O322" s="12" t="str">
        <f>"KT001216"</f>
        <v>KT001216</v>
      </c>
      <c r="P322" s="13" t="str">
        <f>"Mediq Suisse AG"</f>
        <v>Mediq Suisse AG</v>
      </c>
    </row>
    <row r="323" spans="1:16" x14ac:dyDescent="0.15">
      <c r="A323" s="11" t="str">
        <f>"ADV-CR3769"</f>
        <v>ADV-CR3769</v>
      </c>
      <c r="B323" s="12" t="str">
        <f>"Eclypse Super Absorbent Dressing 15 cm x 15 cm"</f>
        <v>Eclypse Super Absorbent Dressing 15 cm x 15 cm</v>
      </c>
      <c r="C323" s="12" t="str">
        <f>"MDR Risikoklasse IIb"</f>
        <v>MDR Risikoklasse IIb</v>
      </c>
      <c r="D323" s="12" t="str">
        <f>"KO15818"</f>
        <v>KO15818</v>
      </c>
      <c r="E323" s="12" t="str">
        <f>"Advancis Medical UK"</f>
        <v>Advancis Medical UK</v>
      </c>
      <c r="F323" s="12" t="str">
        <f>"Lowmoor Business Park"</f>
        <v>Lowmoor Business Park</v>
      </c>
      <c r="G323" s="12" t="str">
        <f>"GB-NG17 7JZ"</f>
        <v>GB-NG17 7JZ</v>
      </c>
      <c r="H323" s="12" t="str">
        <f>"Nottinghamshire"</f>
        <v>Nottinghamshire</v>
      </c>
      <c r="I323" s="12" t="str">
        <f>"KT007056"</f>
        <v>KT007056</v>
      </c>
      <c r="J323" s="12" t="str">
        <f>"Swiss AR Services GmbH"</f>
        <v>Swiss AR Services GmbH</v>
      </c>
      <c r="K323" s="12" t="str">
        <f>"Industriestrasse 47"</f>
        <v>Industriestrasse 47</v>
      </c>
      <c r="L323" s="12" t="str">
        <f>"CH-6300"</f>
        <v>CH-6300</v>
      </c>
      <c r="M323" s="12" t="str">
        <f>"Zug"</f>
        <v>Zug</v>
      </c>
      <c r="N323" s="12" t="str">
        <f>"CHRN-AR-20000807"</f>
        <v>CHRN-AR-20000807</v>
      </c>
      <c r="O323" s="12" t="str">
        <f>"KT001216"</f>
        <v>KT001216</v>
      </c>
      <c r="P323" s="13" t="str">
        <f>"Mediq Suisse AG"</f>
        <v>Mediq Suisse AG</v>
      </c>
    </row>
    <row r="324" spans="1:16" x14ac:dyDescent="0.15">
      <c r="A324" s="11" t="str">
        <f>"ADV-CR3808"</f>
        <v>ADV-CR3808</v>
      </c>
      <c r="B324" s="12" t="str">
        <f>"Eclypse Super Absorbent Dressing 60cm x 40cm"</f>
        <v>Eclypse Super Absorbent Dressing 60cm x 40cm</v>
      </c>
      <c r="C324" s="12" t="str">
        <f>"MDR Risikoklasse IIb"</f>
        <v>MDR Risikoklasse IIb</v>
      </c>
      <c r="D324" s="12" t="str">
        <f>"KO15818"</f>
        <v>KO15818</v>
      </c>
      <c r="E324" s="12" t="str">
        <f>"Advancis Medical UK"</f>
        <v>Advancis Medical UK</v>
      </c>
      <c r="F324" s="12" t="str">
        <f>"Lowmoor Business Park"</f>
        <v>Lowmoor Business Park</v>
      </c>
      <c r="G324" s="12" t="str">
        <f>"GB-NG17 7JZ"</f>
        <v>GB-NG17 7JZ</v>
      </c>
      <c r="H324" s="12" t="str">
        <f>"Nottinghamshire"</f>
        <v>Nottinghamshire</v>
      </c>
      <c r="I324" s="12" t="str">
        <f>"KT007056"</f>
        <v>KT007056</v>
      </c>
      <c r="J324" s="12" t="str">
        <f>"Swiss AR Services GmbH"</f>
        <v>Swiss AR Services GmbH</v>
      </c>
      <c r="K324" s="12" t="str">
        <f>"Industriestrasse 47"</f>
        <v>Industriestrasse 47</v>
      </c>
      <c r="L324" s="12" t="str">
        <f>"CH-6300"</f>
        <v>CH-6300</v>
      </c>
      <c r="M324" s="12" t="str">
        <f>"Zug"</f>
        <v>Zug</v>
      </c>
      <c r="N324" s="12" t="str">
        <f>"CHRN-AR-20000807"</f>
        <v>CHRN-AR-20000807</v>
      </c>
      <c r="O324" s="12" t="str">
        <f>"KT001216"</f>
        <v>KT001216</v>
      </c>
      <c r="P324" s="13" t="str">
        <f>"Mediq Suisse AG"</f>
        <v>Mediq Suisse AG</v>
      </c>
    </row>
    <row r="325" spans="1:16" x14ac:dyDescent="0.15">
      <c r="A325" s="11" t="str">
        <f>"ADV-CR3818"</f>
        <v>ADV-CR3818</v>
      </c>
      <c r="B325" s="12" t="str">
        <f>"Eclypse Super Absorbent Dressing 10cm x 10cm"</f>
        <v>Eclypse Super Absorbent Dressing 10cm x 10cm</v>
      </c>
      <c r="C325" s="12" t="str">
        <f>"MDR Risikoklasse IIb"</f>
        <v>MDR Risikoklasse IIb</v>
      </c>
      <c r="D325" s="12" t="str">
        <f>"KO15818"</f>
        <v>KO15818</v>
      </c>
      <c r="E325" s="12" t="str">
        <f>"Advancis Medical UK"</f>
        <v>Advancis Medical UK</v>
      </c>
      <c r="F325" s="12" t="str">
        <f>"Lowmoor Business Park"</f>
        <v>Lowmoor Business Park</v>
      </c>
      <c r="G325" s="12" t="str">
        <f>"GB-NG17 7JZ"</f>
        <v>GB-NG17 7JZ</v>
      </c>
      <c r="H325" s="12" t="str">
        <f>"Nottinghamshire"</f>
        <v>Nottinghamshire</v>
      </c>
      <c r="I325" s="12" t="str">
        <f>"KT007056"</f>
        <v>KT007056</v>
      </c>
      <c r="J325" s="12" t="str">
        <f>"Swiss AR Services GmbH"</f>
        <v>Swiss AR Services GmbH</v>
      </c>
      <c r="K325" s="12" t="str">
        <f>"Industriestrasse 47"</f>
        <v>Industriestrasse 47</v>
      </c>
      <c r="L325" s="12" t="str">
        <f>"CH-6300"</f>
        <v>CH-6300</v>
      </c>
      <c r="M325" s="12" t="str">
        <f>"Zug"</f>
        <v>Zug</v>
      </c>
      <c r="N325" s="12" t="str">
        <f>"CHRN-AR-20000807"</f>
        <v>CHRN-AR-20000807</v>
      </c>
      <c r="O325" s="12" t="str">
        <f>"KT001216"</f>
        <v>KT001216</v>
      </c>
      <c r="P325" s="13" t="str">
        <f>"Mediq Suisse AG"</f>
        <v>Mediq Suisse AG</v>
      </c>
    </row>
    <row r="326" spans="1:16" x14ac:dyDescent="0.15">
      <c r="A326" s="11" t="str">
        <f>"ADV-CR3830"</f>
        <v>ADV-CR3830</v>
      </c>
      <c r="B326" s="12" t="str">
        <f>"Activon Honey Tube 25g"</f>
        <v>Activon Honey Tube 25g</v>
      </c>
      <c r="C326" s="12" t="str">
        <f>"MDR Risikoklasse IIb"</f>
        <v>MDR Risikoklasse IIb</v>
      </c>
      <c r="D326" s="12" t="str">
        <f>"KO15818"</f>
        <v>KO15818</v>
      </c>
      <c r="E326" s="12" t="str">
        <f>"Advancis Medical UK"</f>
        <v>Advancis Medical UK</v>
      </c>
      <c r="F326" s="12" t="str">
        <f>"Lowmoor Business Park"</f>
        <v>Lowmoor Business Park</v>
      </c>
      <c r="G326" s="12" t="str">
        <f>"GB-NG17 7JZ"</f>
        <v>GB-NG17 7JZ</v>
      </c>
      <c r="H326" s="12" t="str">
        <f>"Nottinghamshire"</f>
        <v>Nottinghamshire</v>
      </c>
      <c r="I326" s="12" t="str">
        <f>"KT007056"</f>
        <v>KT007056</v>
      </c>
      <c r="J326" s="12" t="str">
        <f>"Swiss AR Services GmbH"</f>
        <v>Swiss AR Services GmbH</v>
      </c>
      <c r="K326" s="12" t="str">
        <f>"Industriestrasse 47"</f>
        <v>Industriestrasse 47</v>
      </c>
      <c r="L326" s="12" t="str">
        <f>"CH-6300"</f>
        <v>CH-6300</v>
      </c>
      <c r="M326" s="12" t="str">
        <f>"Zug"</f>
        <v>Zug</v>
      </c>
      <c r="N326" s="12" t="str">
        <f>"CHRN-AR-20000807"</f>
        <v>CHRN-AR-20000807</v>
      </c>
      <c r="O326" s="12" t="str">
        <f>"KT001216"</f>
        <v>KT001216</v>
      </c>
      <c r="P326" s="13" t="str">
        <f>"Mediq Suisse AG"</f>
        <v>Mediq Suisse AG</v>
      </c>
    </row>
    <row r="327" spans="1:16" x14ac:dyDescent="0.15">
      <c r="A327" s="11" t="str">
        <f>"ADV-CR3831"</f>
        <v>ADV-CR3831</v>
      </c>
      <c r="B327" s="12" t="str">
        <f>"Algivon 5 cm x 5 cm"</f>
        <v>Algivon 5 cm x 5 cm</v>
      </c>
      <c r="C327" s="12" t="str">
        <f>"MDR Risikoklasse IIb"</f>
        <v>MDR Risikoklasse IIb</v>
      </c>
      <c r="D327" s="12" t="str">
        <f>"KO15818"</f>
        <v>KO15818</v>
      </c>
      <c r="E327" s="12" t="str">
        <f>"Advancis Medical UK"</f>
        <v>Advancis Medical UK</v>
      </c>
      <c r="F327" s="12" t="str">
        <f>"Lowmoor Business Park"</f>
        <v>Lowmoor Business Park</v>
      </c>
      <c r="G327" s="12" t="str">
        <f>"GB-NG17 7JZ"</f>
        <v>GB-NG17 7JZ</v>
      </c>
      <c r="H327" s="12" t="str">
        <f>"Nottinghamshire"</f>
        <v>Nottinghamshire</v>
      </c>
      <c r="I327" s="12" t="str">
        <f>"KT007056"</f>
        <v>KT007056</v>
      </c>
      <c r="J327" s="12" t="str">
        <f>"Swiss AR Services GmbH"</f>
        <v>Swiss AR Services GmbH</v>
      </c>
      <c r="K327" s="12" t="str">
        <f>"Industriestrasse 47"</f>
        <v>Industriestrasse 47</v>
      </c>
      <c r="L327" s="12" t="str">
        <f>"CH-6300"</f>
        <v>CH-6300</v>
      </c>
      <c r="M327" s="12" t="str">
        <f>"Zug"</f>
        <v>Zug</v>
      </c>
      <c r="N327" s="12" t="str">
        <f>"CHRN-AR-20000807"</f>
        <v>CHRN-AR-20000807</v>
      </c>
      <c r="O327" s="12" t="str">
        <f>"KT001216"</f>
        <v>KT001216</v>
      </c>
      <c r="P327" s="13" t="str">
        <f>"Mediq Suisse AG"</f>
        <v>Mediq Suisse AG</v>
      </c>
    </row>
    <row r="328" spans="1:16" x14ac:dyDescent="0.15">
      <c r="A328" s="11" t="str">
        <f>"ADV-CR3845"</f>
        <v>ADV-CR3845</v>
      </c>
      <c r="B328" s="12" t="str">
        <f>"Advasil Conform Silicone Gel Sheet 10 cm x 10 cm"</f>
        <v>Advasil Conform Silicone Gel Sheet 10 cm x 10 cm</v>
      </c>
      <c r="C328" s="12" t="str">
        <f>"MDR Risikoklasse I"</f>
        <v>MDR Risikoklasse I</v>
      </c>
      <c r="D328" s="12" t="str">
        <f>"KO15818"</f>
        <v>KO15818</v>
      </c>
      <c r="E328" s="12" t="str">
        <f>"Advancis Medical UK"</f>
        <v>Advancis Medical UK</v>
      </c>
      <c r="F328" s="12" t="str">
        <f>"Lowmoor Business Park"</f>
        <v>Lowmoor Business Park</v>
      </c>
      <c r="G328" s="12" t="str">
        <f>"GB-NG17 7JZ"</f>
        <v>GB-NG17 7JZ</v>
      </c>
      <c r="H328" s="12" t="str">
        <f>"Nottinghamshire"</f>
        <v>Nottinghamshire</v>
      </c>
      <c r="I328" s="12" t="str">
        <f>"KT007056"</f>
        <v>KT007056</v>
      </c>
      <c r="J328" s="12" t="str">
        <f>"Swiss AR Services GmbH"</f>
        <v>Swiss AR Services GmbH</v>
      </c>
      <c r="K328" s="12" t="str">
        <f>"Industriestrasse 47"</f>
        <v>Industriestrasse 47</v>
      </c>
      <c r="L328" s="12" t="str">
        <f>"CH-6300"</f>
        <v>CH-6300</v>
      </c>
      <c r="M328" s="12" t="str">
        <f>"Zug"</f>
        <v>Zug</v>
      </c>
      <c r="N328" s="12" t="str">
        <f>"CHRN-AR-20000807"</f>
        <v>CHRN-AR-20000807</v>
      </c>
      <c r="O328" s="12" t="str">
        <f>"KT001216"</f>
        <v>KT001216</v>
      </c>
      <c r="P328" s="13" t="str">
        <f>"Mediq Suisse AG"</f>
        <v>Mediq Suisse AG</v>
      </c>
    </row>
    <row r="329" spans="1:16" x14ac:dyDescent="0.15">
      <c r="A329" s="11" t="str">
        <f>"ADV-CR3863"</f>
        <v>ADV-CR3863</v>
      </c>
      <c r="B329" s="12" t="str">
        <f>"Eclypse Adherent 15 cm x 15 cm"</f>
        <v>Eclypse Adherent 15 cm x 15 cm</v>
      </c>
      <c r="C329" s="12" t="str">
        <f>"MDR Risikoklasse IIb"</f>
        <v>MDR Risikoklasse IIb</v>
      </c>
      <c r="D329" s="12" t="str">
        <f>"KO15818"</f>
        <v>KO15818</v>
      </c>
      <c r="E329" s="12" t="str">
        <f>"Advancis Medical UK"</f>
        <v>Advancis Medical UK</v>
      </c>
      <c r="F329" s="12" t="str">
        <f>"Lowmoor Business Park"</f>
        <v>Lowmoor Business Park</v>
      </c>
      <c r="G329" s="12" t="str">
        <f>"GB-NG17 7JZ"</f>
        <v>GB-NG17 7JZ</v>
      </c>
      <c r="H329" s="12" t="str">
        <f>"Nottinghamshire"</f>
        <v>Nottinghamshire</v>
      </c>
      <c r="I329" s="12" t="str">
        <f>"KT007056"</f>
        <v>KT007056</v>
      </c>
      <c r="J329" s="12" t="str">
        <f>"Swiss AR Services GmbH"</f>
        <v>Swiss AR Services GmbH</v>
      </c>
      <c r="K329" s="12" t="str">
        <f>"Industriestrasse 47"</f>
        <v>Industriestrasse 47</v>
      </c>
      <c r="L329" s="12" t="str">
        <f>"CH-6300"</f>
        <v>CH-6300</v>
      </c>
      <c r="M329" s="12" t="str">
        <f>"Zug"</f>
        <v>Zug</v>
      </c>
      <c r="N329" s="12" t="str">
        <f>"CHRN-AR-20000807"</f>
        <v>CHRN-AR-20000807</v>
      </c>
      <c r="O329" s="12" t="str">
        <f>"KT001216"</f>
        <v>KT001216</v>
      </c>
      <c r="P329" s="13" t="str">
        <f>"Mediq Suisse AG"</f>
        <v>Mediq Suisse AG</v>
      </c>
    </row>
    <row r="330" spans="1:16" x14ac:dyDescent="0.15">
      <c r="A330" s="11" t="str">
        <f>"ADV-CR3864"</f>
        <v>ADV-CR3864</v>
      </c>
      <c r="B330" s="12" t="str">
        <f>"Eclypse Adherent 20 cm x 30 cm"</f>
        <v>Eclypse Adherent 20 cm x 30 cm</v>
      </c>
      <c r="C330" s="12" t="str">
        <f>"MDR Risikoklasse IIb"</f>
        <v>MDR Risikoklasse IIb</v>
      </c>
      <c r="D330" s="12" t="str">
        <f>"KO15818"</f>
        <v>KO15818</v>
      </c>
      <c r="E330" s="12" t="str">
        <f>"Advancis Medical UK"</f>
        <v>Advancis Medical UK</v>
      </c>
      <c r="F330" s="12" t="str">
        <f>"Lowmoor Business Park"</f>
        <v>Lowmoor Business Park</v>
      </c>
      <c r="G330" s="12" t="str">
        <f>"GB-NG17 7JZ"</f>
        <v>GB-NG17 7JZ</v>
      </c>
      <c r="H330" s="12" t="str">
        <f>"Nottinghamshire"</f>
        <v>Nottinghamshire</v>
      </c>
      <c r="I330" s="12" t="str">
        <f>"KT007056"</f>
        <v>KT007056</v>
      </c>
      <c r="J330" s="12" t="str">
        <f>"Swiss AR Services GmbH"</f>
        <v>Swiss AR Services GmbH</v>
      </c>
      <c r="K330" s="12" t="str">
        <f>"Industriestrasse 47"</f>
        <v>Industriestrasse 47</v>
      </c>
      <c r="L330" s="12" t="str">
        <f>"CH-6300"</f>
        <v>CH-6300</v>
      </c>
      <c r="M330" s="12" t="str">
        <f>"Zug"</f>
        <v>Zug</v>
      </c>
      <c r="N330" s="12" t="str">
        <f>"CHRN-AR-20000807"</f>
        <v>CHRN-AR-20000807</v>
      </c>
      <c r="O330" s="12" t="str">
        <f>"KT001216"</f>
        <v>KT001216</v>
      </c>
      <c r="P330" s="13" t="str">
        <f>"Mediq Suisse AG"</f>
        <v>Mediq Suisse AG</v>
      </c>
    </row>
    <row r="331" spans="1:16" x14ac:dyDescent="0.15">
      <c r="A331" s="11" t="str">
        <f>"ADV-CR3881"</f>
        <v>ADV-CR3881</v>
      </c>
      <c r="B331" s="12" t="str">
        <f>"Eclypse Adherent 10cm x 10cm"</f>
        <v>Eclypse Adherent 10cm x 10cm</v>
      </c>
      <c r="C331" s="12" t="str">
        <f>"MDR Risikoklasse IIb"</f>
        <v>MDR Risikoklasse IIb</v>
      </c>
      <c r="D331" s="12" t="str">
        <f>"KO15818"</f>
        <v>KO15818</v>
      </c>
      <c r="E331" s="12" t="str">
        <f>"Advancis Medical UK"</f>
        <v>Advancis Medical UK</v>
      </c>
      <c r="F331" s="12" t="str">
        <f>"Lowmoor Business Park"</f>
        <v>Lowmoor Business Park</v>
      </c>
      <c r="G331" s="12" t="str">
        <f>"GB-NG17 7JZ"</f>
        <v>GB-NG17 7JZ</v>
      </c>
      <c r="H331" s="12" t="str">
        <f>"Nottinghamshire"</f>
        <v>Nottinghamshire</v>
      </c>
      <c r="I331" s="12" t="str">
        <f>"KT007056"</f>
        <v>KT007056</v>
      </c>
      <c r="J331" s="12" t="str">
        <f>"Swiss AR Services GmbH"</f>
        <v>Swiss AR Services GmbH</v>
      </c>
      <c r="K331" s="12" t="str">
        <f>"Industriestrasse 47"</f>
        <v>Industriestrasse 47</v>
      </c>
      <c r="L331" s="12" t="str">
        <f>"CH-6300"</f>
        <v>CH-6300</v>
      </c>
      <c r="M331" s="12" t="str">
        <f>"Zug"</f>
        <v>Zug</v>
      </c>
      <c r="N331" s="12" t="str">
        <f>"CHRN-AR-20000807"</f>
        <v>CHRN-AR-20000807</v>
      </c>
      <c r="O331" s="12" t="str">
        <f>"KT001216"</f>
        <v>KT001216</v>
      </c>
      <c r="P331" s="13" t="str">
        <f>"Mediq Suisse AG"</f>
        <v>Mediq Suisse AG</v>
      </c>
    </row>
    <row r="332" spans="1:16" x14ac:dyDescent="0.15">
      <c r="A332" s="11" t="str">
        <f>"ADV-CR3883"</f>
        <v>ADV-CR3883</v>
      </c>
      <c r="B332" s="12" t="str">
        <f>"Eclypse Adherent 10 cm x 20 cm"</f>
        <v>Eclypse Adherent 10 cm x 20 cm</v>
      </c>
      <c r="C332" s="12" t="str">
        <f>"MDR Risikoklasse IIb"</f>
        <v>MDR Risikoklasse IIb</v>
      </c>
      <c r="D332" s="12" t="str">
        <f>"KO15818"</f>
        <v>KO15818</v>
      </c>
      <c r="E332" s="12" t="str">
        <f>"Advancis Medical UK"</f>
        <v>Advancis Medical UK</v>
      </c>
      <c r="F332" s="12" t="str">
        <f>"Lowmoor Business Park"</f>
        <v>Lowmoor Business Park</v>
      </c>
      <c r="G332" s="12" t="str">
        <f>"GB-NG17 7JZ"</f>
        <v>GB-NG17 7JZ</v>
      </c>
      <c r="H332" s="12" t="str">
        <f>"Nottinghamshire"</f>
        <v>Nottinghamshire</v>
      </c>
      <c r="I332" s="12" t="str">
        <f>"KT007056"</f>
        <v>KT007056</v>
      </c>
      <c r="J332" s="12" t="str">
        <f>"Swiss AR Services GmbH"</f>
        <v>Swiss AR Services GmbH</v>
      </c>
      <c r="K332" s="12" t="str">
        <f>"Industriestrasse 47"</f>
        <v>Industriestrasse 47</v>
      </c>
      <c r="L332" s="12" t="str">
        <f>"CH-6300"</f>
        <v>CH-6300</v>
      </c>
      <c r="M332" s="12" t="str">
        <f>"Zug"</f>
        <v>Zug</v>
      </c>
      <c r="N332" s="12" t="str">
        <f>"CHRN-AR-20000807"</f>
        <v>CHRN-AR-20000807</v>
      </c>
      <c r="O332" s="12" t="str">
        <f>"KT001216"</f>
        <v>KT001216</v>
      </c>
      <c r="P332" s="13" t="str">
        <f>"Mediq Suisse AG"</f>
        <v>Mediq Suisse AG</v>
      </c>
    </row>
    <row r="333" spans="1:16" x14ac:dyDescent="0.15">
      <c r="A333" s="11" t="str">
        <f>"ADV-CR3919"</f>
        <v>ADV-CR3919</v>
      </c>
      <c r="B333" s="12" t="str">
        <f>"Vellafilm Silicone film dressing 12 cm x 12 cm"</f>
        <v>Vellafilm Silicone film dressing 12 cm x 12 cm</v>
      </c>
      <c r="C333" s="12" t="str">
        <f>"MDR Risikoklasse IIb"</f>
        <v>MDR Risikoklasse IIb</v>
      </c>
      <c r="D333" s="12" t="str">
        <f>"KO15818"</f>
        <v>KO15818</v>
      </c>
      <c r="E333" s="12" t="str">
        <f>"Advancis Medical UK"</f>
        <v>Advancis Medical UK</v>
      </c>
      <c r="F333" s="12" t="str">
        <f>"Lowmoor Business Park"</f>
        <v>Lowmoor Business Park</v>
      </c>
      <c r="G333" s="12" t="str">
        <f>"GB-NG17 7JZ"</f>
        <v>GB-NG17 7JZ</v>
      </c>
      <c r="H333" s="12" t="str">
        <f>"Nottinghamshire"</f>
        <v>Nottinghamshire</v>
      </c>
      <c r="I333" s="12" t="str">
        <f>"KT007056"</f>
        <v>KT007056</v>
      </c>
      <c r="J333" s="12" t="str">
        <f>"Swiss AR Services GmbH"</f>
        <v>Swiss AR Services GmbH</v>
      </c>
      <c r="K333" s="12" t="str">
        <f>"Industriestrasse 47"</f>
        <v>Industriestrasse 47</v>
      </c>
      <c r="L333" s="12" t="str">
        <f>"CH-6300"</f>
        <v>CH-6300</v>
      </c>
      <c r="M333" s="12" t="str">
        <f>"Zug"</f>
        <v>Zug</v>
      </c>
      <c r="N333" s="12" t="str">
        <f>"CHRN-AR-20000807"</f>
        <v>CHRN-AR-20000807</v>
      </c>
      <c r="O333" s="12" t="str">
        <f>"KT001216"</f>
        <v>KT001216</v>
      </c>
      <c r="P333" s="13" t="str">
        <f>"Mediq Suisse AG"</f>
        <v>Mediq Suisse AG</v>
      </c>
    </row>
    <row r="334" spans="1:16" x14ac:dyDescent="0.15">
      <c r="A334" s="11" t="str">
        <f>"ADV-CR3922"</f>
        <v>ADV-CR3922</v>
      </c>
      <c r="B334" s="12" t="str">
        <f>"Silflex wound contact dressing 5cm x 7cm"</f>
        <v>Silflex wound contact dressing 5cm x 7cm</v>
      </c>
      <c r="C334" s="12" t="str">
        <f>"MDR Risikoklasse IIb"</f>
        <v>MDR Risikoklasse IIb</v>
      </c>
      <c r="D334" s="12" t="str">
        <f>"KO15818"</f>
        <v>KO15818</v>
      </c>
      <c r="E334" s="12" t="str">
        <f>"Advancis Medical UK"</f>
        <v>Advancis Medical UK</v>
      </c>
      <c r="F334" s="12" t="str">
        <f>"Lowmoor Business Park"</f>
        <v>Lowmoor Business Park</v>
      </c>
      <c r="G334" s="12" t="str">
        <f>"GB-NG17 7JZ"</f>
        <v>GB-NG17 7JZ</v>
      </c>
      <c r="H334" s="12" t="str">
        <f>"Nottinghamshire"</f>
        <v>Nottinghamshire</v>
      </c>
      <c r="I334" s="12" t="str">
        <f>"KT007056"</f>
        <v>KT007056</v>
      </c>
      <c r="J334" s="12" t="str">
        <f>"Swiss AR Services GmbH"</f>
        <v>Swiss AR Services GmbH</v>
      </c>
      <c r="K334" s="12" t="str">
        <f>"Industriestrasse 47"</f>
        <v>Industriestrasse 47</v>
      </c>
      <c r="L334" s="12" t="str">
        <f>"CH-6300"</f>
        <v>CH-6300</v>
      </c>
      <c r="M334" s="12" t="str">
        <f>"Zug"</f>
        <v>Zug</v>
      </c>
      <c r="N334" s="12" t="str">
        <f>"CHRN-AR-20000807"</f>
        <v>CHRN-AR-20000807</v>
      </c>
      <c r="O334" s="12" t="str">
        <f>"KT001216"</f>
        <v>KT001216</v>
      </c>
      <c r="P334" s="13" t="str">
        <f>"Mediq Suisse AG"</f>
        <v>Mediq Suisse AG</v>
      </c>
    </row>
    <row r="335" spans="1:16" x14ac:dyDescent="0.15">
      <c r="A335" s="11" t="str">
        <f>"ADV-CR3923"</f>
        <v>ADV-CR3923</v>
      </c>
      <c r="B335" s="12" t="str">
        <f>"Silflex wound contact dressing 8cm x 10cm"</f>
        <v>Silflex wound contact dressing 8cm x 10cm</v>
      </c>
      <c r="C335" s="12" t="str">
        <f>"MDR Risikoklasse IIb"</f>
        <v>MDR Risikoklasse IIb</v>
      </c>
      <c r="D335" s="12" t="str">
        <f>"KO15818"</f>
        <v>KO15818</v>
      </c>
      <c r="E335" s="12" t="str">
        <f>"Advancis Medical UK"</f>
        <v>Advancis Medical UK</v>
      </c>
      <c r="F335" s="12" t="str">
        <f>"Lowmoor Business Park"</f>
        <v>Lowmoor Business Park</v>
      </c>
      <c r="G335" s="12" t="str">
        <f>"GB-NG17 7JZ"</f>
        <v>GB-NG17 7JZ</v>
      </c>
      <c r="H335" s="12" t="str">
        <f>"Nottinghamshire"</f>
        <v>Nottinghamshire</v>
      </c>
      <c r="I335" s="12" t="str">
        <f>"KT007056"</f>
        <v>KT007056</v>
      </c>
      <c r="J335" s="12" t="str">
        <f>"Swiss AR Services GmbH"</f>
        <v>Swiss AR Services GmbH</v>
      </c>
      <c r="K335" s="12" t="str">
        <f>"Industriestrasse 47"</f>
        <v>Industriestrasse 47</v>
      </c>
      <c r="L335" s="12" t="str">
        <f>"CH-6300"</f>
        <v>CH-6300</v>
      </c>
      <c r="M335" s="12" t="str">
        <f>"Zug"</f>
        <v>Zug</v>
      </c>
      <c r="N335" s="12" t="str">
        <f>"CHRN-AR-20000807"</f>
        <v>CHRN-AR-20000807</v>
      </c>
      <c r="O335" s="12" t="str">
        <f>"KT001216"</f>
        <v>KT001216</v>
      </c>
      <c r="P335" s="13" t="str">
        <f>"Mediq Suisse AG"</f>
        <v>Mediq Suisse AG</v>
      </c>
    </row>
    <row r="336" spans="1:16" x14ac:dyDescent="0.15">
      <c r="A336" s="11" t="str">
        <f>"ADV-CR3924"</f>
        <v>ADV-CR3924</v>
      </c>
      <c r="B336" s="12" t="str">
        <f>"Silflex wound contact dressing 12 cm x 15 cm"</f>
        <v>Silflex wound contact dressing 12 cm x 15 cm</v>
      </c>
      <c r="C336" s="12" t="str">
        <f>"MDR Risikoklasse IIb"</f>
        <v>MDR Risikoklasse IIb</v>
      </c>
      <c r="D336" s="12" t="str">
        <f>"KO15818"</f>
        <v>KO15818</v>
      </c>
      <c r="E336" s="12" t="str">
        <f>"Advancis Medical UK"</f>
        <v>Advancis Medical UK</v>
      </c>
      <c r="F336" s="12" t="str">
        <f>"Lowmoor Business Park"</f>
        <v>Lowmoor Business Park</v>
      </c>
      <c r="G336" s="12" t="str">
        <f>"GB-NG17 7JZ"</f>
        <v>GB-NG17 7JZ</v>
      </c>
      <c r="H336" s="12" t="str">
        <f>"Nottinghamshire"</f>
        <v>Nottinghamshire</v>
      </c>
      <c r="I336" s="12" t="str">
        <f>"KT007056"</f>
        <v>KT007056</v>
      </c>
      <c r="J336" s="12" t="str">
        <f>"Swiss AR Services GmbH"</f>
        <v>Swiss AR Services GmbH</v>
      </c>
      <c r="K336" s="12" t="str">
        <f>"Industriestrasse 47"</f>
        <v>Industriestrasse 47</v>
      </c>
      <c r="L336" s="12" t="str">
        <f>"CH-6300"</f>
        <v>CH-6300</v>
      </c>
      <c r="M336" s="12" t="str">
        <f>"Zug"</f>
        <v>Zug</v>
      </c>
      <c r="N336" s="12" t="str">
        <f>"CHRN-AR-20000807"</f>
        <v>CHRN-AR-20000807</v>
      </c>
      <c r="O336" s="12" t="str">
        <f>"KT001216"</f>
        <v>KT001216</v>
      </c>
      <c r="P336" s="13" t="str">
        <f>"Mediq Suisse AG"</f>
        <v>Mediq Suisse AG</v>
      </c>
    </row>
    <row r="337" spans="1:16" x14ac:dyDescent="0.15">
      <c r="A337" s="11" t="str">
        <f>"ADV-CR3925"</f>
        <v>ADV-CR3925</v>
      </c>
      <c r="B337" s="12" t="str">
        <f>"Silflex wound contact dressing 20cm x 30cm"</f>
        <v>Silflex wound contact dressing 20cm x 30cm</v>
      </c>
      <c r="C337" s="12" t="str">
        <f>"MDR Risikoklasse IIb"</f>
        <v>MDR Risikoklasse IIb</v>
      </c>
      <c r="D337" s="12" t="str">
        <f>"KO15818"</f>
        <v>KO15818</v>
      </c>
      <c r="E337" s="12" t="str">
        <f>"Advancis Medical UK"</f>
        <v>Advancis Medical UK</v>
      </c>
      <c r="F337" s="12" t="str">
        <f>"Lowmoor Business Park"</f>
        <v>Lowmoor Business Park</v>
      </c>
      <c r="G337" s="12" t="str">
        <f>"GB-NG17 7JZ"</f>
        <v>GB-NG17 7JZ</v>
      </c>
      <c r="H337" s="12" t="str">
        <f>"Nottinghamshire"</f>
        <v>Nottinghamshire</v>
      </c>
      <c r="I337" s="12" t="str">
        <f>"KT007056"</f>
        <v>KT007056</v>
      </c>
      <c r="J337" s="12" t="str">
        <f>"Swiss AR Services GmbH"</f>
        <v>Swiss AR Services GmbH</v>
      </c>
      <c r="K337" s="12" t="str">
        <f>"Industriestrasse 47"</f>
        <v>Industriestrasse 47</v>
      </c>
      <c r="L337" s="12" t="str">
        <f>"CH-6300"</f>
        <v>CH-6300</v>
      </c>
      <c r="M337" s="12" t="str">
        <f>"Zug"</f>
        <v>Zug</v>
      </c>
      <c r="N337" s="12" t="str">
        <f>"CHRN-AR-20000807"</f>
        <v>CHRN-AR-20000807</v>
      </c>
      <c r="O337" s="12" t="str">
        <f>"KT001216"</f>
        <v>KT001216</v>
      </c>
      <c r="P337" s="13" t="str">
        <f>"Mediq Suisse AG"</f>
        <v>Mediq Suisse AG</v>
      </c>
    </row>
    <row r="338" spans="1:16" x14ac:dyDescent="0.15">
      <c r="A338" s="11" t="str">
        <f>"ADV-CR3938"</f>
        <v>ADV-CR3938</v>
      </c>
      <c r="B338" s="12" t="str">
        <f>"Siltape 2 cm x 3 m"</f>
        <v>Siltape 2 cm x 3 m</v>
      </c>
      <c r="C338" s="12" t="str">
        <f>"MDR Risikoklasse I"</f>
        <v>MDR Risikoklasse I</v>
      </c>
      <c r="D338" s="12" t="str">
        <f>"KO15818"</f>
        <v>KO15818</v>
      </c>
      <c r="E338" s="12" t="str">
        <f>"Advancis Medical UK"</f>
        <v>Advancis Medical UK</v>
      </c>
      <c r="F338" s="12" t="str">
        <f>"Lowmoor Business Park"</f>
        <v>Lowmoor Business Park</v>
      </c>
      <c r="G338" s="12" t="str">
        <f>"GB-NG17 7JZ"</f>
        <v>GB-NG17 7JZ</v>
      </c>
      <c r="H338" s="12" t="str">
        <f>"Nottinghamshire"</f>
        <v>Nottinghamshire</v>
      </c>
      <c r="I338" s="12" t="str">
        <f>"KT007056"</f>
        <v>KT007056</v>
      </c>
      <c r="J338" s="12" t="str">
        <f>"Swiss AR Services GmbH"</f>
        <v>Swiss AR Services GmbH</v>
      </c>
      <c r="K338" s="12" t="str">
        <f>"Industriestrasse 47"</f>
        <v>Industriestrasse 47</v>
      </c>
      <c r="L338" s="12" t="str">
        <f>"CH-6300"</f>
        <v>CH-6300</v>
      </c>
      <c r="M338" s="12" t="str">
        <f>"Zug"</f>
        <v>Zug</v>
      </c>
      <c r="N338" s="12" t="str">
        <f>"CHRN-AR-20000807"</f>
        <v>CHRN-AR-20000807</v>
      </c>
      <c r="O338" s="12" t="str">
        <f>"KT001216"</f>
        <v>KT001216</v>
      </c>
      <c r="P338" s="13" t="str">
        <f>"Mediq Suisse AG"</f>
        <v>Mediq Suisse AG</v>
      </c>
    </row>
    <row r="339" spans="1:16" x14ac:dyDescent="0.15">
      <c r="A339" s="11" t="str">
        <f>"ADV-CR3939"</f>
        <v>ADV-CR3939</v>
      </c>
      <c r="B339" s="12" t="str">
        <f>"Siltape 4 cm x 1.5 m"</f>
        <v>Siltape 4 cm x 1.5 m</v>
      </c>
      <c r="C339" s="12" t="str">
        <f>"MDR Risikoklasse I"</f>
        <v>MDR Risikoklasse I</v>
      </c>
      <c r="D339" s="12" t="str">
        <f>"KO15818"</f>
        <v>KO15818</v>
      </c>
      <c r="E339" s="12" t="str">
        <f>"Advancis Medical UK"</f>
        <v>Advancis Medical UK</v>
      </c>
      <c r="F339" s="12" t="str">
        <f>"Lowmoor Business Park"</f>
        <v>Lowmoor Business Park</v>
      </c>
      <c r="G339" s="12" t="str">
        <f>"GB-NG17 7JZ"</f>
        <v>GB-NG17 7JZ</v>
      </c>
      <c r="H339" s="12" t="str">
        <f>"Nottinghamshire"</f>
        <v>Nottinghamshire</v>
      </c>
      <c r="I339" s="12" t="str">
        <f>"KT007056"</f>
        <v>KT007056</v>
      </c>
      <c r="J339" s="12" t="str">
        <f>"Swiss AR Services GmbH"</f>
        <v>Swiss AR Services GmbH</v>
      </c>
      <c r="K339" s="12" t="str">
        <f>"Industriestrasse 47"</f>
        <v>Industriestrasse 47</v>
      </c>
      <c r="L339" s="12" t="str">
        <f>"CH-6300"</f>
        <v>CH-6300</v>
      </c>
      <c r="M339" s="12" t="str">
        <f>"Zug"</f>
        <v>Zug</v>
      </c>
      <c r="N339" s="12" t="str">
        <f>"CHRN-AR-20000807"</f>
        <v>CHRN-AR-20000807</v>
      </c>
      <c r="O339" s="12" t="str">
        <f>"KT001216"</f>
        <v>KT001216</v>
      </c>
      <c r="P339" s="13" t="str">
        <f>"Mediq Suisse AG"</f>
        <v>Mediq Suisse AG</v>
      </c>
    </row>
    <row r="340" spans="1:16" x14ac:dyDescent="0.15">
      <c r="A340" s="11" t="str">
        <f>"ADV-CR3985"</f>
        <v>ADV-CR3985</v>
      </c>
      <c r="B340" s="12" t="str">
        <f>"Eclypse Adherent Sacral 17 cm x 19 cm"</f>
        <v>Eclypse Adherent Sacral 17 cm x 19 cm</v>
      </c>
      <c r="C340" s="12" t="str">
        <f>"MDR Risikoklasse IIb"</f>
        <v>MDR Risikoklasse IIb</v>
      </c>
      <c r="D340" s="12" t="str">
        <f>"KO15818"</f>
        <v>KO15818</v>
      </c>
      <c r="E340" s="12" t="str">
        <f>"Advancis Medical UK"</f>
        <v>Advancis Medical UK</v>
      </c>
      <c r="F340" s="12" t="str">
        <f>"Lowmoor Business Park"</f>
        <v>Lowmoor Business Park</v>
      </c>
      <c r="G340" s="12" t="str">
        <f>"GB-NG17 7JZ"</f>
        <v>GB-NG17 7JZ</v>
      </c>
      <c r="H340" s="12" t="str">
        <f>"Nottinghamshire"</f>
        <v>Nottinghamshire</v>
      </c>
      <c r="I340" s="12" t="str">
        <f>"KT007056"</f>
        <v>KT007056</v>
      </c>
      <c r="J340" s="12" t="str">
        <f>"Swiss AR Services GmbH"</f>
        <v>Swiss AR Services GmbH</v>
      </c>
      <c r="K340" s="12" t="str">
        <f>"Industriestrasse 47"</f>
        <v>Industriestrasse 47</v>
      </c>
      <c r="L340" s="12" t="str">
        <f>"CH-6300"</f>
        <v>CH-6300</v>
      </c>
      <c r="M340" s="12" t="str">
        <f>"Zug"</f>
        <v>Zug</v>
      </c>
      <c r="N340" s="12" t="str">
        <f>"CHRN-AR-20000807"</f>
        <v>CHRN-AR-20000807</v>
      </c>
      <c r="O340" s="12" t="str">
        <f>"KT001216"</f>
        <v>KT001216</v>
      </c>
      <c r="P340" s="13" t="str">
        <f>"Mediq Suisse AG"</f>
        <v>Mediq Suisse AG</v>
      </c>
    </row>
    <row r="341" spans="1:16" x14ac:dyDescent="0.15">
      <c r="A341" s="11" t="str">
        <f>"ADV-CR3986"</f>
        <v>ADV-CR3986</v>
      </c>
      <c r="B341" s="12" t="str">
        <f>"Eclypse Adherent Sacral 22cm x 23cm"</f>
        <v>Eclypse Adherent Sacral 22cm x 23cm</v>
      </c>
      <c r="C341" s="12" t="str">
        <f>"MDR Risikoklasse IIb"</f>
        <v>MDR Risikoklasse IIb</v>
      </c>
      <c r="D341" s="12" t="str">
        <f>"KO15818"</f>
        <v>KO15818</v>
      </c>
      <c r="E341" s="12" t="str">
        <f>"Advancis Medical UK"</f>
        <v>Advancis Medical UK</v>
      </c>
      <c r="F341" s="12" t="str">
        <f>"Lowmoor Business Park"</f>
        <v>Lowmoor Business Park</v>
      </c>
      <c r="G341" s="12" t="str">
        <f>"GB-NG17 7JZ"</f>
        <v>GB-NG17 7JZ</v>
      </c>
      <c r="H341" s="12" t="str">
        <f>"Nottinghamshire"</f>
        <v>Nottinghamshire</v>
      </c>
      <c r="I341" s="12" t="str">
        <f>"KT007056"</f>
        <v>KT007056</v>
      </c>
      <c r="J341" s="12" t="str">
        <f>"Swiss AR Services GmbH"</f>
        <v>Swiss AR Services GmbH</v>
      </c>
      <c r="K341" s="12" t="str">
        <f>"Industriestrasse 47"</f>
        <v>Industriestrasse 47</v>
      </c>
      <c r="L341" s="12" t="str">
        <f>"CH-6300"</f>
        <v>CH-6300</v>
      </c>
      <c r="M341" s="12" t="str">
        <f>"Zug"</f>
        <v>Zug</v>
      </c>
      <c r="N341" s="12" t="str">
        <f>"CHRN-AR-20000807"</f>
        <v>CHRN-AR-20000807</v>
      </c>
      <c r="O341" s="12" t="str">
        <f>"KT001216"</f>
        <v>KT001216</v>
      </c>
      <c r="P341" s="13" t="str">
        <f>"Mediq Suisse AG"</f>
        <v>Mediq Suisse AG</v>
      </c>
    </row>
    <row r="342" spans="1:16" x14ac:dyDescent="0.15">
      <c r="A342" s="11" t="str">
        <f>"ADV-CR4006"</f>
        <v>ADV-CR4006</v>
      </c>
      <c r="B342" s="12" t="str">
        <f>"Silflex wound contact dressing 35cm x 60cm"</f>
        <v>Silflex wound contact dressing 35cm x 60cm</v>
      </c>
      <c r="C342" s="12" t="str">
        <f>"MDR Risikoklasse IIb"</f>
        <v>MDR Risikoklasse IIb</v>
      </c>
      <c r="D342" s="12" t="str">
        <f>"KO15818"</f>
        <v>KO15818</v>
      </c>
      <c r="E342" s="12" t="str">
        <f>"Advancis Medical UK"</f>
        <v>Advancis Medical UK</v>
      </c>
      <c r="F342" s="12" t="str">
        <f>"Lowmoor Business Park"</f>
        <v>Lowmoor Business Park</v>
      </c>
      <c r="G342" s="12" t="str">
        <f>"GB-NG17 7JZ"</f>
        <v>GB-NG17 7JZ</v>
      </c>
      <c r="H342" s="12" t="str">
        <f>"Nottinghamshire"</f>
        <v>Nottinghamshire</v>
      </c>
      <c r="I342" s="12" t="str">
        <f>"KT007056"</f>
        <v>KT007056</v>
      </c>
      <c r="J342" s="12" t="str">
        <f>"Swiss AR Services GmbH"</f>
        <v>Swiss AR Services GmbH</v>
      </c>
      <c r="K342" s="12" t="str">
        <f>"Industriestrasse 47"</f>
        <v>Industriestrasse 47</v>
      </c>
      <c r="L342" s="12" t="str">
        <f>"CH-6300"</f>
        <v>CH-6300</v>
      </c>
      <c r="M342" s="12" t="str">
        <f>"Zug"</f>
        <v>Zug</v>
      </c>
      <c r="N342" s="12" t="str">
        <f>"CHRN-AR-20000807"</f>
        <v>CHRN-AR-20000807</v>
      </c>
      <c r="O342" s="12" t="str">
        <f>"KT001216"</f>
        <v>KT001216</v>
      </c>
      <c r="P342" s="13" t="str">
        <f>"Mediq Suisse AG"</f>
        <v>Mediq Suisse AG</v>
      </c>
    </row>
    <row r="343" spans="1:16" x14ac:dyDescent="0.15">
      <c r="A343" s="11" t="str">
        <f>"ADV-CR4014"</f>
        <v>ADV-CR4014</v>
      </c>
      <c r="B343" s="12" t="str">
        <f>"Eclypse Boot Standard 60 cm x 70 cm"</f>
        <v>Eclypse Boot Standard 60 cm x 70 cm</v>
      </c>
      <c r="C343" s="12" t="str">
        <f>"MDR Risikoklasse IIb"</f>
        <v>MDR Risikoklasse IIb</v>
      </c>
      <c r="D343" s="12" t="str">
        <f>"KO15818"</f>
        <v>KO15818</v>
      </c>
      <c r="E343" s="12" t="str">
        <f>"Advancis Medical UK"</f>
        <v>Advancis Medical UK</v>
      </c>
      <c r="F343" s="12" t="str">
        <f>"Lowmoor Business Park"</f>
        <v>Lowmoor Business Park</v>
      </c>
      <c r="G343" s="12" t="str">
        <f>"GB-NG17 7JZ"</f>
        <v>GB-NG17 7JZ</v>
      </c>
      <c r="H343" s="12" t="str">
        <f>"Nottinghamshire"</f>
        <v>Nottinghamshire</v>
      </c>
      <c r="I343" s="12" t="str">
        <f>"KT007056"</f>
        <v>KT007056</v>
      </c>
      <c r="J343" s="12" t="str">
        <f>"Swiss AR Services GmbH"</f>
        <v>Swiss AR Services GmbH</v>
      </c>
      <c r="K343" s="12" t="str">
        <f>"Industriestrasse 47"</f>
        <v>Industriestrasse 47</v>
      </c>
      <c r="L343" s="12" t="str">
        <f>"CH-6300"</f>
        <v>CH-6300</v>
      </c>
      <c r="M343" s="12" t="str">
        <f>"Zug"</f>
        <v>Zug</v>
      </c>
      <c r="N343" s="12" t="str">
        <f>"CHRN-AR-20000807"</f>
        <v>CHRN-AR-20000807</v>
      </c>
      <c r="O343" s="12" t="str">
        <f>"KT001216"</f>
        <v>KT001216</v>
      </c>
      <c r="P343" s="13" t="str">
        <f>"Mediq Suisse AG"</f>
        <v>Mediq Suisse AG</v>
      </c>
    </row>
    <row r="344" spans="1:16" x14ac:dyDescent="0.15">
      <c r="A344" s="11" t="str">
        <f>"ADV-CR4178"</f>
        <v>ADV-CR4178</v>
      </c>
      <c r="B344" s="12" t="str">
        <f>"Silfix Foam dressing w. Silicone 10cm x 10cm"</f>
        <v>Silfix Foam dressing w. Silicone 10cm x 10cm</v>
      </c>
      <c r="C344" s="12" t="str">
        <f>"MDR Risikoklasse IIb"</f>
        <v>MDR Risikoklasse IIb</v>
      </c>
      <c r="D344" s="12" t="str">
        <f>"KO15818"</f>
        <v>KO15818</v>
      </c>
      <c r="E344" s="12" t="str">
        <f>"Advancis Medical UK"</f>
        <v>Advancis Medical UK</v>
      </c>
      <c r="F344" s="12" t="str">
        <f>"Lowmoor Business Park"</f>
        <v>Lowmoor Business Park</v>
      </c>
      <c r="G344" s="12" t="str">
        <f>"GB-NG17 7JZ"</f>
        <v>GB-NG17 7JZ</v>
      </c>
      <c r="H344" s="12" t="str">
        <f>"Nottinghamshire"</f>
        <v>Nottinghamshire</v>
      </c>
      <c r="I344" s="12" t="str">
        <f>"KT007056"</f>
        <v>KT007056</v>
      </c>
      <c r="J344" s="12" t="str">
        <f>"Swiss AR Services GmbH"</f>
        <v>Swiss AR Services GmbH</v>
      </c>
      <c r="K344" s="12" t="str">
        <f>"Industriestrasse 47"</f>
        <v>Industriestrasse 47</v>
      </c>
      <c r="L344" s="12" t="str">
        <f>"CH-6300"</f>
        <v>CH-6300</v>
      </c>
      <c r="M344" s="12" t="str">
        <f>"Zug"</f>
        <v>Zug</v>
      </c>
      <c r="N344" s="12" t="str">
        <f>"CHRN-AR-20000807"</f>
        <v>CHRN-AR-20000807</v>
      </c>
      <c r="O344" s="12" t="str">
        <f>"KT001216"</f>
        <v>KT001216</v>
      </c>
      <c r="P344" s="13" t="str">
        <f>"Mediq Suisse AG"</f>
        <v>Mediq Suisse AG</v>
      </c>
    </row>
    <row r="345" spans="1:16" x14ac:dyDescent="0.15">
      <c r="A345" s="11" t="str">
        <f>"ADV-CR4179"</f>
        <v>ADV-CR4179</v>
      </c>
      <c r="B345" s="12" t="str">
        <f>"Silfix Foam dressing w. Silicone 12.5cm x 12.5cm"</f>
        <v>Silfix Foam dressing w. Silicone 12.5cm x 12.5cm</v>
      </c>
      <c r="C345" s="12" t="str">
        <f>"MDR Risikoklasse IIb"</f>
        <v>MDR Risikoklasse IIb</v>
      </c>
      <c r="D345" s="12" t="str">
        <f>"KO15818"</f>
        <v>KO15818</v>
      </c>
      <c r="E345" s="12" t="str">
        <f>"Advancis Medical UK"</f>
        <v>Advancis Medical UK</v>
      </c>
      <c r="F345" s="12" t="str">
        <f>"Lowmoor Business Park"</f>
        <v>Lowmoor Business Park</v>
      </c>
      <c r="G345" s="12" t="str">
        <f>"GB-NG17 7JZ"</f>
        <v>GB-NG17 7JZ</v>
      </c>
      <c r="H345" s="12" t="str">
        <f>"Nottinghamshire"</f>
        <v>Nottinghamshire</v>
      </c>
      <c r="I345" s="12" t="str">
        <f>"KT007056"</f>
        <v>KT007056</v>
      </c>
      <c r="J345" s="12" t="str">
        <f>"Swiss AR Services GmbH"</f>
        <v>Swiss AR Services GmbH</v>
      </c>
      <c r="K345" s="12" t="str">
        <f>"Industriestrasse 47"</f>
        <v>Industriestrasse 47</v>
      </c>
      <c r="L345" s="12" t="str">
        <f>"CH-6300"</f>
        <v>CH-6300</v>
      </c>
      <c r="M345" s="12" t="str">
        <f>"Zug"</f>
        <v>Zug</v>
      </c>
      <c r="N345" s="12" t="str">
        <f>"CHRN-AR-20000807"</f>
        <v>CHRN-AR-20000807</v>
      </c>
      <c r="O345" s="12" t="str">
        <f>"KT001216"</f>
        <v>KT001216</v>
      </c>
      <c r="P345" s="13" t="str">
        <f>"Mediq Suisse AG"</f>
        <v>Mediq Suisse AG</v>
      </c>
    </row>
    <row r="346" spans="1:16" x14ac:dyDescent="0.15">
      <c r="A346" s="11" t="str">
        <f>"ADV-CR4190"</f>
        <v>ADV-CR4190</v>
      </c>
      <c r="B346" s="12" t="str">
        <f>"Advazorb Border Foam dressing 7.5 cm x 7.5cm"</f>
        <v>Advazorb Border Foam dressing 7.5 cm x 7.5cm</v>
      </c>
      <c r="C346" s="12" t="str">
        <f>"MDR Risikoklasse IIb"</f>
        <v>MDR Risikoklasse IIb</v>
      </c>
      <c r="D346" s="12" t="str">
        <f>"KO15818"</f>
        <v>KO15818</v>
      </c>
      <c r="E346" s="12" t="str">
        <f>"Advancis Medical UK"</f>
        <v>Advancis Medical UK</v>
      </c>
      <c r="F346" s="12" t="str">
        <f>"Lowmoor Business Park"</f>
        <v>Lowmoor Business Park</v>
      </c>
      <c r="G346" s="12" t="str">
        <f>"GB-NG17 7JZ"</f>
        <v>GB-NG17 7JZ</v>
      </c>
      <c r="H346" s="12" t="str">
        <f>"Nottinghamshire"</f>
        <v>Nottinghamshire</v>
      </c>
      <c r="I346" s="12" t="str">
        <f>"KT007056"</f>
        <v>KT007056</v>
      </c>
      <c r="J346" s="12" t="str">
        <f>"Swiss AR Services GmbH"</f>
        <v>Swiss AR Services GmbH</v>
      </c>
      <c r="K346" s="12" t="str">
        <f>"Industriestrasse 47"</f>
        <v>Industriestrasse 47</v>
      </c>
      <c r="L346" s="12" t="str">
        <f>"CH-6300"</f>
        <v>CH-6300</v>
      </c>
      <c r="M346" s="12" t="str">
        <f>"Zug"</f>
        <v>Zug</v>
      </c>
      <c r="N346" s="12" t="str">
        <f>"CHRN-AR-20000807"</f>
        <v>CHRN-AR-20000807</v>
      </c>
      <c r="O346" s="12" t="str">
        <f>"KT001216"</f>
        <v>KT001216</v>
      </c>
      <c r="P346" s="13" t="str">
        <f>"Mediq Suisse AG"</f>
        <v>Mediq Suisse AG</v>
      </c>
    </row>
    <row r="347" spans="1:16" x14ac:dyDescent="0.15">
      <c r="A347" s="11" t="str">
        <f>"ADV-CR4191"</f>
        <v>ADV-CR4191</v>
      </c>
      <c r="B347" s="12" t="str">
        <f>"Advazorb Border Foam dressing 10cm x 10cm"</f>
        <v>Advazorb Border Foam dressing 10cm x 10cm</v>
      </c>
      <c r="C347" s="12" t="str">
        <f>"MDR Risikoklasse IIb"</f>
        <v>MDR Risikoklasse IIb</v>
      </c>
      <c r="D347" s="12" t="str">
        <f>"KO15818"</f>
        <v>KO15818</v>
      </c>
      <c r="E347" s="12" t="str">
        <f>"Advancis Medical UK"</f>
        <v>Advancis Medical UK</v>
      </c>
      <c r="F347" s="12" t="str">
        <f>"Lowmoor Business Park"</f>
        <v>Lowmoor Business Park</v>
      </c>
      <c r="G347" s="12" t="str">
        <f>"GB-NG17 7JZ"</f>
        <v>GB-NG17 7JZ</v>
      </c>
      <c r="H347" s="12" t="str">
        <f>"Nottinghamshire"</f>
        <v>Nottinghamshire</v>
      </c>
      <c r="I347" s="12" t="str">
        <f>"KT007056"</f>
        <v>KT007056</v>
      </c>
      <c r="J347" s="12" t="str">
        <f>"Swiss AR Services GmbH"</f>
        <v>Swiss AR Services GmbH</v>
      </c>
      <c r="K347" s="12" t="str">
        <f>"Industriestrasse 47"</f>
        <v>Industriestrasse 47</v>
      </c>
      <c r="L347" s="12" t="str">
        <f>"CH-6300"</f>
        <v>CH-6300</v>
      </c>
      <c r="M347" s="12" t="str">
        <f>"Zug"</f>
        <v>Zug</v>
      </c>
      <c r="N347" s="12" t="str">
        <f>"CHRN-AR-20000807"</f>
        <v>CHRN-AR-20000807</v>
      </c>
      <c r="O347" s="12" t="str">
        <f>"KT001216"</f>
        <v>KT001216</v>
      </c>
      <c r="P347" s="13" t="str">
        <f>"Mediq Suisse AG"</f>
        <v>Mediq Suisse AG</v>
      </c>
    </row>
    <row r="348" spans="1:16" x14ac:dyDescent="0.15">
      <c r="A348" s="11" t="str">
        <f>"ADV-CR4192"</f>
        <v>ADV-CR4192</v>
      </c>
      <c r="B348" s="12" t="str">
        <f>"Advazorb Border Foam dressing 12.5cm x 12.5cm"</f>
        <v>Advazorb Border Foam dressing 12.5cm x 12.5cm</v>
      </c>
      <c r="C348" s="12" t="str">
        <f>"MDR Risikoklasse IIb"</f>
        <v>MDR Risikoklasse IIb</v>
      </c>
      <c r="D348" s="12" t="str">
        <f>"KO15818"</f>
        <v>KO15818</v>
      </c>
      <c r="E348" s="12" t="str">
        <f>"Advancis Medical UK"</f>
        <v>Advancis Medical UK</v>
      </c>
      <c r="F348" s="12" t="str">
        <f>"Lowmoor Business Park"</f>
        <v>Lowmoor Business Park</v>
      </c>
      <c r="G348" s="12" t="str">
        <f>"GB-NG17 7JZ"</f>
        <v>GB-NG17 7JZ</v>
      </c>
      <c r="H348" s="12" t="str">
        <f>"Nottinghamshire"</f>
        <v>Nottinghamshire</v>
      </c>
      <c r="I348" s="12" t="str">
        <f>"KT007056"</f>
        <v>KT007056</v>
      </c>
      <c r="J348" s="12" t="str">
        <f>"Swiss AR Services GmbH"</f>
        <v>Swiss AR Services GmbH</v>
      </c>
      <c r="K348" s="12" t="str">
        <f>"Industriestrasse 47"</f>
        <v>Industriestrasse 47</v>
      </c>
      <c r="L348" s="12" t="str">
        <f>"CH-6300"</f>
        <v>CH-6300</v>
      </c>
      <c r="M348" s="12" t="str">
        <f>"Zug"</f>
        <v>Zug</v>
      </c>
      <c r="N348" s="12" t="str">
        <f>"CHRN-AR-20000807"</f>
        <v>CHRN-AR-20000807</v>
      </c>
      <c r="O348" s="12" t="str">
        <f>"KT001216"</f>
        <v>KT001216</v>
      </c>
      <c r="P348" s="13" t="str">
        <f>"Mediq Suisse AG"</f>
        <v>Mediq Suisse AG</v>
      </c>
    </row>
    <row r="349" spans="1:16" x14ac:dyDescent="0.15">
      <c r="A349" s="11" t="str">
        <f>"ADV-CR4213"</f>
        <v>ADV-CR4213</v>
      </c>
      <c r="B349" s="12" t="str">
        <f>"Hemosep Shaker Unit"</f>
        <v>Hemosep Shaker Unit</v>
      </c>
      <c r="C349" s="12" t="str">
        <f>"MDR Risikoklasse IIb"</f>
        <v>MDR Risikoklasse IIb</v>
      </c>
      <c r="D349" s="12" t="str">
        <f>"KO15818"</f>
        <v>KO15818</v>
      </c>
      <c r="E349" s="12" t="str">
        <f>"Advancis Medical UK"</f>
        <v>Advancis Medical UK</v>
      </c>
      <c r="F349" s="12" t="str">
        <f>"Lowmoor Business Park"</f>
        <v>Lowmoor Business Park</v>
      </c>
      <c r="G349" s="12" t="str">
        <f>"GB-NG17 7JZ"</f>
        <v>GB-NG17 7JZ</v>
      </c>
      <c r="H349" s="12" t="str">
        <f>"Nottinghamshire"</f>
        <v>Nottinghamshire</v>
      </c>
      <c r="I349" s="12" t="str">
        <f>"KT007056"</f>
        <v>KT007056</v>
      </c>
      <c r="J349" s="12" t="str">
        <f>"Swiss AR Services GmbH"</f>
        <v>Swiss AR Services GmbH</v>
      </c>
      <c r="K349" s="12" t="str">
        <f>"Industriestrasse 47"</f>
        <v>Industriestrasse 47</v>
      </c>
      <c r="L349" s="12" t="str">
        <f>"CH-6300"</f>
        <v>CH-6300</v>
      </c>
      <c r="M349" s="12" t="str">
        <f>"Zug"</f>
        <v>Zug</v>
      </c>
      <c r="N349" s="12" t="str">
        <f>"CHRN-AR-20000807"</f>
        <v>CHRN-AR-20000807</v>
      </c>
      <c r="O349" s="12" t="str">
        <f>"KT001216"</f>
        <v>KT001216</v>
      </c>
      <c r="P349" s="13" t="str">
        <f>"Mediq Suisse AG"</f>
        <v>Mediq Suisse AG</v>
      </c>
    </row>
    <row r="350" spans="1:16" x14ac:dyDescent="0.15">
      <c r="A350" s="11" t="str">
        <f>"ADV-CR4219"</f>
        <v>ADV-CR4219</v>
      </c>
      <c r="B350" s="12" t="str">
        <f>"Eclypse Foot 33 cm x 48 cm"</f>
        <v>Eclypse Foot 33 cm x 48 cm</v>
      </c>
      <c r="C350" s="12" t="str">
        <f>"MDR Risikoklasse IIb"</f>
        <v>MDR Risikoklasse IIb</v>
      </c>
      <c r="D350" s="12" t="str">
        <f>"KO15818"</f>
        <v>KO15818</v>
      </c>
      <c r="E350" s="12" t="str">
        <f>"Advancis Medical UK"</f>
        <v>Advancis Medical UK</v>
      </c>
      <c r="F350" s="12" t="str">
        <f>"Lowmoor Business Park"</f>
        <v>Lowmoor Business Park</v>
      </c>
      <c r="G350" s="12" t="str">
        <f>"GB-NG17 7JZ"</f>
        <v>GB-NG17 7JZ</v>
      </c>
      <c r="H350" s="12" t="str">
        <f>"Nottinghamshire"</f>
        <v>Nottinghamshire</v>
      </c>
      <c r="I350" s="12" t="str">
        <f>"KT007056"</f>
        <v>KT007056</v>
      </c>
      <c r="J350" s="12" t="str">
        <f>"Swiss AR Services GmbH"</f>
        <v>Swiss AR Services GmbH</v>
      </c>
      <c r="K350" s="12" t="str">
        <f>"Industriestrasse 47"</f>
        <v>Industriestrasse 47</v>
      </c>
      <c r="L350" s="12" t="str">
        <f>"CH-6300"</f>
        <v>CH-6300</v>
      </c>
      <c r="M350" s="12" t="str">
        <f>"Zug"</f>
        <v>Zug</v>
      </c>
      <c r="N350" s="12" t="str">
        <f>"CHRN-AR-20000807"</f>
        <v>CHRN-AR-20000807</v>
      </c>
      <c r="O350" s="12" t="str">
        <f>"KT001216"</f>
        <v>KT001216</v>
      </c>
      <c r="P350" s="13" t="str">
        <f>"Mediq Suisse AG"</f>
        <v>Mediq Suisse AG</v>
      </c>
    </row>
    <row r="351" spans="1:16" x14ac:dyDescent="0.15">
      <c r="A351" s="11" t="str">
        <f>"ADV-CR4223"</f>
        <v>ADV-CR4223</v>
      </c>
      <c r="B351" s="12" t="str">
        <f>"Wound Probe"</f>
        <v>Wound Probe</v>
      </c>
      <c r="C351" s="12" t="str">
        <f>"MDR Risikoklasse I"</f>
        <v>MDR Risikoklasse I</v>
      </c>
      <c r="D351" s="12" t="str">
        <f>"KO15818"</f>
        <v>KO15818</v>
      </c>
      <c r="E351" s="12" t="str">
        <f>"Advancis Medical UK"</f>
        <v>Advancis Medical UK</v>
      </c>
      <c r="F351" s="12" t="str">
        <f>"Lowmoor Business Park"</f>
        <v>Lowmoor Business Park</v>
      </c>
      <c r="G351" s="12" t="str">
        <f>"GB-NG17 7JZ"</f>
        <v>GB-NG17 7JZ</v>
      </c>
      <c r="H351" s="12" t="str">
        <f>"Nottinghamshire"</f>
        <v>Nottinghamshire</v>
      </c>
      <c r="I351" s="12" t="str">
        <f>"KT007056"</f>
        <v>KT007056</v>
      </c>
      <c r="J351" s="12" t="str">
        <f>"Swiss AR Services GmbH"</f>
        <v>Swiss AR Services GmbH</v>
      </c>
      <c r="K351" s="12" t="str">
        <f>"Industriestrasse 47"</f>
        <v>Industriestrasse 47</v>
      </c>
      <c r="L351" s="12" t="str">
        <f>"CH-6300"</f>
        <v>CH-6300</v>
      </c>
      <c r="M351" s="12" t="str">
        <f>"Zug"</f>
        <v>Zug</v>
      </c>
      <c r="N351" s="12" t="str">
        <f>"CHRN-AR-20000807"</f>
        <v>CHRN-AR-20000807</v>
      </c>
      <c r="O351" s="12" t="str">
        <f>"KT001216"</f>
        <v>KT001216</v>
      </c>
      <c r="P351" s="13" t="str">
        <f>"Mediq Suisse AG"</f>
        <v>Mediq Suisse AG</v>
      </c>
    </row>
    <row r="352" spans="1:16" x14ac:dyDescent="0.15">
      <c r="A352" s="11" t="str">
        <f>"ADV-CR4225"</f>
        <v>ADV-CR4225</v>
      </c>
      <c r="B352" s="12" t="str">
        <f>"Algivon Plus 10 cm x 10 cm"</f>
        <v>Algivon Plus 10 cm x 10 cm</v>
      </c>
      <c r="C352" s="12" t="str">
        <f>"MDR Risikoklasse IIb"</f>
        <v>MDR Risikoklasse IIb</v>
      </c>
      <c r="D352" s="12" t="str">
        <f>"KO15818"</f>
        <v>KO15818</v>
      </c>
      <c r="E352" s="12" t="str">
        <f>"Advancis Medical UK"</f>
        <v>Advancis Medical UK</v>
      </c>
      <c r="F352" s="12" t="str">
        <f>"Lowmoor Business Park"</f>
        <v>Lowmoor Business Park</v>
      </c>
      <c r="G352" s="12" t="str">
        <f>"GB-NG17 7JZ"</f>
        <v>GB-NG17 7JZ</v>
      </c>
      <c r="H352" s="12" t="str">
        <f>"Nottinghamshire"</f>
        <v>Nottinghamshire</v>
      </c>
      <c r="I352" s="12" t="str">
        <f>"KT007056"</f>
        <v>KT007056</v>
      </c>
      <c r="J352" s="12" t="str">
        <f>"Swiss AR Services GmbH"</f>
        <v>Swiss AR Services GmbH</v>
      </c>
      <c r="K352" s="12" t="str">
        <f>"Industriestrasse 47"</f>
        <v>Industriestrasse 47</v>
      </c>
      <c r="L352" s="12" t="str">
        <f>"CH-6300"</f>
        <v>CH-6300</v>
      </c>
      <c r="M352" s="12" t="str">
        <f>"Zug"</f>
        <v>Zug</v>
      </c>
      <c r="N352" s="12" t="str">
        <f>"CHRN-AR-20000807"</f>
        <v>CHRN-AR-20000807</v>
      </c>
      <c r="O352" s="12" t="str">
        <f>"KT001216"</f>
        <v>KT001216</v>
      </c>
      <c r="P352" s="13" t="str">
        <f>"Mediq Suisse AG"</f>
        <v>Mediq Suisse AG</v>
      </c>
    </row>
    <row r="353" spans="1:16" x14ac:dyDescent="0.15">
      <c r="A353" s="11" t="str">
        <f>"ADV-CR4229"</f>
        <v>ADV-CR4229</v>
      </c>
      <c r="B353" s="12" t="str">
        <f>"Eclypse Boot Large 70cm x 80cm"</f>
        <v>Eclypse Boot Large 70cm x 80cm</v>
      </c>
      <c r="C353" s="12" t="str">
        <f>"MDR Risikoklasse IIb"</f>
        <v>MDR Risikoklasse IIb</v>
      </c>
      <c r="D353" s="12" t="str">
        <f>"KO15818"</f>
        <v>KO15818</v>
      </c>
      <c r="E353" s="12" t="str">
        <f>"Advancis Medical UK"</f>
        <v>Advancis Medical UK</v>
      </c>
      <c r="F353" s="12" t="str">
        <f>"Lowmoor Business Park"</f>
        <v>Lowmoor Business Park</v>
      </c>
      <c r="G353" s="12" t="str">
        <f>"GB-NG17 7JZ"</f>
        <v>GB-NG17 7JZ</v>
      </c>
      <c r="H353" s="12" t="str">
        <f>"Nottinghamshire"</f>
        <v>Nottinghamshire</v>
      </c>
      <c r="I353" s="12" t="str">
        <f>"KT007056"</f>
        <v>KT007056</v>
      </c>
      <c r="J353" s="12" t="str">
        <f>"Swiss AR Services GmbH"</f>
        <v>Swiss AR Services GmbH</v>
      </c>
      <c r="K353" s="12" t="str">
        <f>"Industriestrasse 47"</f>
        <v>Industriestrasse 47</v>
      </c>
      <c r="L353" s="12" t="str">
        <f>"CH-6300"</f>
        <v>CH-6300</v>
      </c>
      <c r="M353" s="12" t="str">
        <f>"Zug"</f>
        <v>Zug</v>
      </c>
      <c r="N353" s="12" t="str">
        <f>"CHRN-AR-20000807"</f>
        <v>CHRN-AR-20000807</v>
      </c>
      <c r="O353" s="12" t="str">
        <f>"KT001216"</f>
        <v>KT001216</v>
      </c>
      <c r="P353" s="13" t="str">
        <f>"Mediq Suisse AG"</f>
        <v>Mediq Suisse AG</v>
      </c>
    </row>
    <row r="354" spans="1:16" x14ac:dyDescent="0.15">
      <c r="A354" s="11" t="str">
        <f>"ADV-CR4230"</f>
        <v>ADV-CR4230</v>
      </c>
      <c r="B354" s="12" t="str">
        <f>"Algivon Plus 5cm x 5cm"</f>
        <v>Algivon Plus 5cm x 5cm</v>
      </c>
      <c r="C354" s="12" t="str">
        <f>"MDR Risikoklasse IIb"</f>
        <v>MDR Risikoklasse IIb</v>
      </c>
      <c r="D354" s="12" t="str">
        <f>"KO15818"</f>
        <v>KO15818</v>
      </c>
      <c r="E354" s="12" t="str">
        <f>"Advancis Medical UK"</f>
        <v>Advancis Medical UK</v>
      </c>
      <c r="F354" s="12" t="str">
        <f>"Lowmoor Business Park"</f>
        <v>Lowmoor Business Park</v>
      </c>
      <c r="G354" s="12" t="str">
        <f>"GB-NG17 7JZ"</f>
        <v>GB-NG17 7JZ</v>
      </c>
      <c r="H354" s="12" t="str">
        <f>"Nottinghamshire"</f>
        <v>Nottinghamshire</v>
      </c>
      <c r="I354" s="12" t="str">
        <f>"KT007056"</f>
        <v>KT007056</v>
      </c>
      <c r="J354" s="12" t="str">
        <f>"Swiss AR Services GmbH"</f>
        <v>Swiss AR Services GmbH</v>
      </c>
      <c r="K354" s="12" t="str">
        <f>"Industriestrasse 47"</f>
        <v>Industriestrasse 47</v>
      </c>
      <c r="L354" s="12" t="str">
        <f>"CH-6300"</f>
        <v>CH-6300</v>
      </c>
      <c r="M354" s="12" t="str">
        <f>"Zug"</f>
        <v>Zug</v>
      </c>
      <c r="N354" s="12" t="str">
        <f>"CHRN-AR-20000807"</f>
        <v>CHRN-AR-20000807</v>
      </c>
      <c r="O354" s="12" t="str">
        <f>"KT001216"</f>
        <v>KT001216</v>
      </c>
      <c r="P354" s="13" t="str">
        <f>"Mediq Suisse AG"</f>
        <v>Mediq Suisse AG</v>
      </c>
    </row>
    <row r="355" spans="1:16" x14ac:dyDescent="0.15">
      <c r="A355" s="11" t="str">
        <f>"ADV-CR4231"</f>
        <v>ADV-CR4231</v>
      </c>
      <c r="B355" s="12" t="str">
        <f>"Algivon Plus Ribbon 2.5cm x 20cm"</f>
        <v>Algivon Plus Ribbon 2.5cm x 20cm</v>
      </c>
      <c r="C355" s="12" t="str">
        <f>"MDR Risikoklasse IIb"</f>
        <v>MDR Risikoklasse IIb</v>
      </c>
      <c r="D355" s="12" t="str">
        <f>"KO15818"</f>
        <v>KO15818</v>
      </c>
      <c r="E355" s="12" t="str">
        <f>"Advancis Medical UK"</f>
        <v>Advancis Medical UK</v>
      </c>
      <c r="F355" s="12" t="str">
        <f>"Lowmoor Business Park"</f>
        <v>Lowmoor Business Park</v>
      </c>
      <c r="G355" s="12" t="str">
        <f>"GB-NG17 7JZ"</f>
        <v>GB-NG17 7JZ</v>
      </c>
      <c r="H355" s="12" t="str">
        <f>"Nottinghamshire"</f>
        <v>Nottinghamshire</v>
      </c>
      <c r="I355" s="12" t="str">
        <f>"KT007056"</f>
        <v>KT007056</v>
      </c>
      <c r="J355" s="12" t="str">
        <f>"Swiss AR Services GmbH"</f>
        <v>Swiss AR Services GmbH</v>
      </c>
      <c r="K355" s="12" t="str">
        <f>"Industriestrasse 47"</f>
        <v>Industriestrasse 47</v>
      </c>
      <c r="L355" s="12" t="str">
        <f>"CH-6300"</f>
        <v>CH-6300</v>
      </c>
      <c r="M355" s="12" t="str">
        <f>"Zug"</f>
        <v>Zug</v>
      </c>
      <c r="N355" s="12" t="str">
        <f>"CHRN-AR-20000807"</f>
        <v>CHRN-AR-20000807</v>
      </c>
      <c r="O355" s="12" t="str">
        <f>"KT001216"</f>
        <v>KT001216</v>
      </c>
      <c r="P355" s="13" t="str">
        <f>"Mediq Suisse AG"</f>
        <v>Mediq Suisse AG</v>
      </c>
    </row>
    <row r="356" spans="1:16" x14ac:dyDescent="0.15">
      <c r="A356" s="11" t="str">
        <f>"ADV-CR4237"</f>
        <v>ADV-CR4237</v>
      </c>
      <c r="B356" s="12" t="str">
        <f>"Eclypse Boot Small 55cm x 47cm"</f>
        <v>Eclypse Boot Small 55cm x 47cm</v>
      </c>
      <c r="C356" s="12" t="str">
        <f>"MDR Risikoklasse IIb"</f>
        <v>MDR Risikoklasse IIb</v>
      </c>
      <c r="D356" s="12" t="str">
        <f>"KO15818"</f>
        <v>KO15818</v>
      </c>
      <c r="E356" s="12" t="str">
        <f>"Advancis Medical UK"</f>
        <v>Advancis Medical UK</v>
      </c>
      <c r="F356" s="12" t="str">
        <f>"Lowmoor Business Park"</f>
        <v>Lowmoor Business Park</v>
      </c>
      <c r="G356" s="12" t="str">
        <f>"GB-NG17 7JZ"</f>
        <v>GB-NG17 7JZ</v>
      </c>
      <c r="H356" s="12" t="str">
        <f>"Nottinghamshire"</f>
        <v>Nottinghamshire</v>
      </c>
      <c r="I356" s="12" t="str">
        <f>"KT007056"</f>
        <v>KT007056</v>
      </c>
      <c r="J356" s="12" t="str">
        <f>"Swiss AR Services GmbH"</f>
        <v>Swiss AR Services GmbH</v>
      </c>
      <c r="K356" s="12" t="str">
        <f>"Industriestrasse 47"</f>
        <v>Industriestrasse 47</v>
      </c>
      <c r="L356" s="12" t="str">
        <f>"CH-6300"</f>
        <v>CH-6300</v>
      </c>
      <c r="M356" s="12" t="str">
        <f>"Zug"</f>
        <v>Zug</v>
      </c>
      <c r="N356" s="12" t="str">
        <f>"CHRN-AR-20000807"</f>
        <v>CHRN-AR-20000807</v>
      </c>
      <c r="O356" s="12" t="str">
        <f>"KT001216"</f>
        <v>KT001216</v>
      </c>
      <c r="P356" s="13" t="str">
        <f>"Mediq Suisse AG"</f>
        <v>Mediq Suisse AG</v>
      </c>
    </row>
    <row r="357" spans="1:16" x14ac:dyDescent="0.15">
      <c r="A357" s="11" t="str">
        <f>"ADV-CR4281"</f>
        <v>ADV-CR4281</v>
      </c>
      <c r="B357" s="12" t="str">
        <f>"Actilite 5 cm x 5 cm"</f>
        <v>Actilite 5 cm x 5 cm</v>
      </c>
      <c r="C357" s="12" t="str">
        <f>"MDR Risikoklasse IIb"</f>
        <v>MDR Risikoklasse IIb</v>
      </c>
      <c r="D357" s="12" t="str">
        <f>"KO15818"</f>
        <v>KO15818</v>
      </c>
      <c r="E357" s="12" t="str">
        <f>"Advancis Medical UK"</f>
        <v>Advancis Medical UK</v>
      </c>
      <c r="F357" s="12" t="str">
        <f>"Lowmoor Business Park"</f>
        <v>Lowmoor Business Park</v>
      </c>
      <c r="G357" s="12" t="str">
        <f>"GB-NG17 7JZ"</f>
        <v>GB-NG17 7JZ</v>
      </c>
      <c r="H357" s="12" t="str">
        <f>"Nottinghamshire"</f>
        <v>Nottinghamshire</v>
      </c>
      <c r="I357" s="12" t="str">
        <f>"KT007056"</f>
        <v>KT007056</v>
      </c>
      <c r="J357" s="12" t="str">
        <f>"Swiss AR Services GmbH"</f>
        <v>Swiss AR Services GmbH</v>
      </c>
      <c r="K357" s="12" t="str">
        <f>"Industriestrasse 47"</f>
        <v>Industriestrasse 47</v>
      </c>
      <c r="L357" s="12" t="str">
        <f>"CH-6300"</f>
        <v>CH-6300</v>
      </c>
      <c r="M357" s="12" t="str">
        <f>"Zug"</f>
        <v>Zug</v>
      </c>
      <c r="N357" s="12" t="str">
        <f>"CHRN-AR-20000807"</f>
        <v>CHRN-AR-20000807</v>
      </c>
      <c r="O357" s="12" t="str">
        <f>"KT001216"</f>
        <v>KT001216</v>
      </c>
      <c r="P357" s="13" t="str">
        <f>"Mediq Suisse AG"</f>
        <v>Mediq Suisse AG</v>
      </c>
    </row>
    <row r="358" spans="1:16" x14ac:dyDescent="0.15">
      <c r="A358" s="11" t="str">
        <f>"ADV-CR4296"</f>
        <v>ADV-CR4296</v>
      </c>
      <c r="B358" s="12" t="str">
        <f>"Eclypse Border 15 cm x 15 cm"</f>
        <v>Eclypse Border 15 cm x 15 cm</v>
      </c>
      <c r="C358" s="12" t="str">
        <f>"MDR Risikoklasse IIb"</f>
        <v>MDR Risikoklasse IIb</v>
      </c>
      <c r="D358" s="12" t="str">
        <f>"KO15818"</f>
        <v>KO15818</v>
      </c>
      <c r="E358" s="12" t="str">
        <f>"Advancis Medical UK"</f>
        <v>Advancis Medical UK</v>
      </c>
      <c r="F358" s="12" t="str">
        <f>"Lowmoor Business Park"</f>
        <v>Lowmoor Business Park</v>
      </c>
      <c r="G358" s="12" t="str">
        <f>"GB-NG17 7JZ"</f>
        <v>GB-NG17 7JZ</v>
      </c>
      <c r="H358" s="12" t="str">
        <f>"Nottinghamshire"</f>
        <v>Nottinghamshire</v>
      </c>
      <c r="I358" s="12" t="str">
        <f>"KT007056"</f>
        <v>KT007056</v>
      </c>
      <c r="J358" s="12" t="str">
        <f>"Swiss AR Services GmbH"</f>
        <v>Swiss AR Services GmbH</v>
      </c>
      <c r="K358" s="12" t="str">
        <f>"Industriestrasse 47"</f>
        <v>Industriestrasse 47</v>
      </c>
      <c r="L358" s="12" t="str">
        <f>"CH-6300"</f>
        <v>CH-6300</v>
      </c>
      <c r="M358" s="12" t="str">
        <f>"Zug"</f>
        <v>Zug</v>
      </c>
      <c r="N358" s="12" t="str">
        <f>"CHRN-AR-20000807"</f>
        <v>CHRN-AR-20000807</v>
      </c>
      <c r="O358" s="12" t="str">
        <f>"KT001216"</f>
        <v>KT001216</v>
      </c>
      <c r="P358" s="13" t="str">
        <f>"Mediq Suisse AG"</f>
        <v>Mediq Suisse AG</v>
      </c>
    </row>
    <row r="359" spans="1:16" x14ac:dyDescent="0.15">
      <c r="A359" s="11" t="str">
        <f>"ADV-CR4297"</f>
        <v>ADV-CR4297</v>
      </c>
      <c r="B359" s="12" t="str">
        <f>"Eclypse Border 20 cm x 30 cm"</f>
        <v>Eclypse Border 20 cm x 30 cm</v>
      </c>
      <c r="C359" s="12" t="str">
        <f>"MDR Risikoklasse IIb"</f>
        <v>MDR Risikoklasse IIb</v>
      </c>
      <c r="D359" s="12" t="str">
        <f>"KO15818"</f>
        <v>KO15818</v>
      </c>
      <c r="E359" s="12" t="str">
        <f>"Advancis Medical UK"</f>
        <v>Advancis Medical UK</v>
      </c>
      <c r="F359" s="12" t="str">
        <f>"Lowmoor Business Park"</f>
        <v>Lowmoor Business Park</v>
      </c>
      <c r="G359" s="12" t="str">
        <f>"GB-NG17 7JZ"</f>
        <v>GB-NG17 7JZ</v>
      </c>
      <c r="H359" s="12" t="str">
        <f>"Nottinghamshire"</f>
        <v>Nottinghamshire</v>
      </c>
      <c r="I359" s="12" t="str">
        <f>"KT007056"</f>
        <v>KT007056</v>
      </c>
      <c r="J359" s="12" t="str">
        <f>"Swiss AR Services GmbH"</f>
        <v>Swiss AR Services GmbH</v>
      </c>
      <c r="K359" s="12" t="str">
        <f>"Industriestrasse 47"</f>
        <v>Industriestrasse 47</v>
      </c>
      <c r="L359" s="12" t="str">
        <f>"CH-6300"</f>
        <v>CH-6300</v>
      </c>
      <c r="M359" s="12" t="str">
        <f>"Zug"</f>
        <v>Zug</v>
      </c>
      <c r="N359" s="12" t="str">
        <f>"CHRN-AR-20000807"</f>
        <v>CHRN-AR-20000807</v>
      </c>
      <c r="O359" s="12" t="str">
        <f>"KT001216"</f>
        <v>KT001216</v>
      </c>
      <c r="P359" s="13" t="str">
        <f>"Mediq Suisse AG"</f>
        <v>Mediq Suisse AG</v>
      </c>
    </row>
    <row r="360" spans="1:16" x14ac:dyDescent="0.15">
      <c r="A360" s="11" t="str">
        <f>"ADV-CR4298"</f>
        <v>ADV-CR4298</v>
      </c>
      <c r="B360" s="12" t="str">
        <f>"Eclypse Border Oval 20 cm x 30 cm"</f>
        <v>Eclypse Border Oval 20 cm x 30 cm</v>
      </c>
      <c r="C360" s="12" t="str">
        <f>"MDR Risikoklasse IIb"</f>
        <v>MDR Risikoklasse IIb</v>
      </c>
      <c r="D360" s="12" t="str">
        <f>"KO15818"</f>
        <v>KO15818</v>
      </c>
      <c r="E360" s="12" t="str">
        <f>"Advancis Medical UK"</f>
        <v>Advancis Medical UK</v>
      </c>
      <c r="F360" s="12" t="str">
        <f>"Lowmoor Business Park"</f>
        <v>Lowmoor Business Park</v>
      </c>
      <c r="G360" s="12" t="str">
        <f>"GB-NG17 7JZ"</f>
        <v>GB-NG17 7JZ</v>
      </c>
      <c r="H360" s="12" t="str">
        <f>"Nottinghamshire"</f>
        <v>Nottinghamshire</v>
      </c>
      <c r="I360" s="12" t="str">
        <f>"KT007056"</f>
        <v>KT007056</v>
      </c>
      <c r="J360" s="12" t="str">
        <f>"Swiss AR Services GmbH"</f>
        <v>Swiss AR Services GmbH</v>
      </c>
      <c r="K360" s="12" t="str">
        <f>"Industriestrasse 47"</f>
        <v>Industriestrasse 47</v>
      </c>
      <c r="L360" s="12" t="str">
        <f>"CH-6300"</f>
        <v>CH-6300</v>
      </c>
      <c r="M360" s="12" t="str">
        <f>"Zug"</f>
        <v>Zug</v>
      </c>
      <c r="N360" s="12" t="str">
        <f>"CHRN-AR-20000807"</f>
        <v>CHRN-AR-20000807</v>
      </c>
      <c r="O360" s="12" t="str">
        <f>"KT001216"</f>
        <v>KT001216</v>
      </c>
      <c r="P360" s="13" t="str">
        <f>"Mediq Suisse AG"</f>
        <v>Mediq Suisse AG</v>
      </c>
    </row>
    <row r="361" spans="1:16" x14ac:dyDescent="0.15">
      <c r="A361" s="11" t="str">
        <f>"ADV-CR4299"</f>
        <v>ADV-CR4299</v>
      </c>
      <c r="B361" s="12" t="str">
        <f>"Eclypse Border Oval 15 cm x 20 cm"</f>
        <v>Eclypse Border Oval 15 cm x 20 cm</v>
      </c>
      <c r="C361" s="12" t="str">
        <f>"MDR Risikoklasse IIb"</f>
        <v>MDR Risikoklasse IIb</v>
      </c>
      <c r="D361" s="12" t="str">
        <f>"KO15818"</f>
        <v>KO15818</v>
      </c>
      <c r="E361" s="12" t="str">
        <f>"Advancis Medical UK"</f>
        <v>Advancis Medical UK</v>
      </c>
      <c r="F361" s="12" t="str">
        <f>"Lowmoor Business Park"</f>
        <v>Lowmoor Business Park</v>
      </c>
      <c r="G361" s="12" t="str">
        <f>"GB-NG17 7JZ"</f>
        <v>GB-NG17 7JZ</v>
      </c>
      <c r="H361" s="12" t="str">
        <f>"Nottinghamshire"</f>
        <v>Nottinghamshire</v>
      </c>
      <c r="I361" s="12" t="str">
        <f>"KT007056"</f>
        <v>KT007056</v>
      </c>
      <c r="J361" s="12" t="str">
        <f>"Swiss AR Services GmbH"</f>
        <v>Swiss AR Services GmbH</v>
      </c>
      <c r="K361" s="12" t="str">
        <f>"Industriestrasse 47"</f>
        <v>Industriestrasse 47</v>
      </c>
      <c r="L361" s="12" t="str">
        <f>"CH-6300"</f>
        <v>CH-6300</v>
      </c>
      <c r="M361" s="12" t="str">
        <f>"Zug"</f>
        <v>Zug</v>
      </c>
      <c r="N361" s="12" t="str">
        <f>"CHRN-AR-20000807"</f>
        <v>CHRN-AR-20000807</v>
      </c>
      <c r="O361" s="12" t="str">
        <f>"KT001216"</f>
        <v>KT001216</v>
      </c>
      <c r="P361" s="13" t="str">
        <f>"Mediq Suisse AG"</f>
        <v>Mediq Suisse AG</v>
      </c>
    </row>
    <row r="362" spans="1:16" x14ac:dyDescent="0.15">
      <c r="A362" s="11" t="str">
        <f>"ADV-CR4300"</f>
        <v>ADV-CR4300</v>
      </c>
      <c r="B362" s="12" t="str">
        <f>"Eclypse Border Oval 10 cm x 20 cm"</f>
        <v>Eclypse Border Oval 10 cm x 20 cm</v>
      </c>
      <c r="C362" s="12" t="str">
        <f>"MDR Risikoklasse IIb"</f>
        <v>MDR Risikoklasse IIb</v>
      </c>
      <c r="D362" s="12" t="str">
        <f>"KO15818"</f>
        <v>KO15818</v>
      </c>
      <c r="E362" s="12" t="str">
        <f>"Advancis Medical UK"</f>
        <v>Advancis Medical UK</v>
      </c>
      <c r="F362" s="12" t="str">
        <f>"Lowmoor Business Park"</f>
        <v>Lowmoor Business Park</v>
      </c>
      <c r="G362" s="12" t="str">
        <f>"GB-NG17 7JZ"</f>
        <v>GB-NG17 7JZ</v>
      </c>
      <c r="H362" s="12" t="str">
        <f>"Nottinghamshire"</f>
        <v>Nottinghamshire</v>
      </c>
      <c r="I362" s="12" t="str">
        <f>"KT007056"</f>
        <v>KT007056</v>
      </c>
      <c r="J362" s="12" t="str">
        <f>"Swiss AR Services GmbH"</f>
        <v>Swiss AR Services GmbH</v>
      </c>
      <c r="K362" s="12" t="str">
        <f>"Industriestrasse 47"</f>
        <v>Industriestrasse 47</v>
      </c>
      <c r="L362" s="12" t="str">
        <f>"CH-6300"</f>
        <v>CH-6300</v>
      </c>
      <c r="M362" s="12" t="str">
        <f>"Zug"</f>
        <v>Zug</v>
      </c>
      <c r="N362" s="12" t="str">
        <f>"CHRN-AR-20000807"</f>
        <v>CHRN-AR-20000807</v>
      </c>
      <c r="O362" s="12" t="str">
        <f>"KT001216"</f>
        <v>KT001216</v>
      </c>
      <c r="P362" s="13" t="str">
        <f>"Mediq Suisse AG"</f>
        <v>Mediq Suisse AG</v>
      </c>
    </row>
    <row r="363" spans="1:16" x14ac:dyDescent="0.15">
      <c r="A363" s="11" t="str">
        <f>"ADV-CR4366"</f>
        <v>ADV-CR4366</v>
      </c>
      <c r="B363" s="12" t="str">
        <f>"Actilite 30 cm x 20 cm"</f>
        <v>Actilite 30 cm x 20 cm</v>
      </c>
      <c r="C363" s="12" t="str">
        <f>"MDR Risikoklasse IIb"</f>
        <v>MDR Risikoklasse IIb</v>
      </c>
      <c r="D363" s="12" t="str">
        <f>"KO15818"</f>
        <v>KO15818</v>
      </c>
      <c r="E363" s="12" t="str">
        <f>"Advancis Medical UK"</f>
        <v>Advancis Medical UK</v>
      </c>
      <c r="F363" s="12" t="str">
        <f>"Lowmoor Business Park"</f>
        <v>Lowmoor Business Park</v>
      </c>
      <c r="G363" s="12" t="str">
        <f>"GB-NG17 7JZ"</f>
        <v>GB-NG17 7JZ</v>
      </c>
      <c r="H363" s="12" t="str">
        <f>"Nottinghamshire"</f>
        <v>Nottinghamshire</v>
      </c>
      <c r="I363" s="12" t="str">
        <f>"KT007056"</f>
        <v>KT007056</v>
      </c>
      <c r="J363" s="12" t="str">
        <f>"Swiss AR Services GmbH"</f>
        <v>Swiss AR Services GmbH</v>
      </c>
      <c r="K363" s="12" t="str">
        <f>"Industriestrasse 47"</f>
        <v>Industriestrasse 47</v>
      </c>
      <c r="L363" s="12" t="str">
        <f>"CH-6300"</f>
        <v>CH-6300</v>
      </c>
      <c r="M363" s="12" t="str">
        <f>"Zug"</f>
        <v>Zug</v>
      </c>
      <c r="N363" s="12" t="str">
        <f>"CHRN-AR-20000807"</f>
        <v>CHRN-AR-20000807</v>
      </c>
      <c r="O363" s="12" t="str">
        <f>"KT001216"</f>
        <v>KT001216</v>
      </c>
      <c r="P363" s="13" t="str">
        <f>"Mediq Suisse AG"</f>
        <v>Mediq Suisse AG</v>
      </c>
    </row>
    <row r="364" spans="1:16" x14ac:dyDescent="0.15">
      <c r="A364" s="11" t="str">
        <f>"ADV-CR4398"</f>
        <v>ADV-CR4398</v>
      </c>
      <c r="B364" s="12" t="str">
        <f>"Eclypse Contour 30cm x 51cm"</f>
        <v>Eclypse Contour 30cm x 51cm</v>
      </c>
      <c r="C364" s="12" t="str">
        <f>"MDR Risikoklasse IIb"</f>
        <v>MDR Risikoklasse IIb</v>
      </c>
      <c r="D364" s="12" t="str">
        <f>"KO15818"</f>
        <v>KO15818</v>
      </c>
      <c r="E364" s="12" t="str">
        <f>"Advancis Medical UK"</f>
        <v>Advancis Medical UK</v>
      </c>
      <c r="F364" s="12" t="str">
        <f>"Lowmoor Business Park"</f>
        <v>Lowmoor Business Park</v>
      </c>
      <c r="G364" s="12" t="str">
        <f>"GB-NG17 7JZ"</f>
        <v>GB-NG17 7JZ</v>
      </c>
      <c r="H364" s="12" t="str">
        <f>"Nottinghamshire"</f>
        <v>Nottinghamshire</v>
      </c>
      <c r="I364" s="12" t="str">
        <f>"KT007056"</f>
        <v>KT007056</v>
      </c>
      <c r="J364" s="12" t="str">
        <f>"Swiss AR Services GmbH"</f>
        <v>Swiss AR Services GmbH</v>
      </c>
      <c r="K364" s="12" t="str">
        <f>"Industriestrasse 47"</f>
        <v>Industriestrasse 47</v>
      </c>
      <c r="L364" s="12" t="str">
        <f>"CH-6300"</f>
        <v>CH-6300</v>
      </c>
      <c r="M364" s="12" t="str">
        <f>"Zug"</f>
        <v>Zug</v>
      </c>
      <c r="N364" s="12" t="str">
        <f>"CHRN-AR-20000807"</f>
        <v>CHRN-AR-20000807</v>
      </c>
      <c r="O364" s="12" t="str">
        <f>"KT001216"</f>
        <v>KT001216</v>
      </c>
      <c r="P364" s="13" t="str">
        <f>"Mediq Suisse AG"</f>
        <v>Mediq Suisse AG</v>
      </c>
    </row>
    <row r="365" spans="1:16" x14ac:dyDescent="0.15">
      <c r="A365" s="11" t="str">
        <f>"ADV-CR4426"</f>
        <v>ADV-CR4426</v>
      </c>
      <c r="B365" s="12" t="str">
        <f>"Hemosep Cell Concentrator Pack"</f>
        <v>Hemosep Cell Concentrator Pack</v>
      </c>
      <c r="C365" s="12" t="str">
        <f>"MDR Risikoklasse IIb"</f>
        <v>MDR Risikoklasse IIb</v>
      </c>
      <c r="D365" s="12" t="str">
        <f>"KO15818"</f>
        <v>KO15818</v>
      </c>
      <c r="E365" s="12" t="str">
        <f>"Advancis Medical UK"</f>
        <v>Advancis Medical UK</v>
      </c>
      <c r="F365" s="12" t="str">
        <f>"Lowmoor Business Park"</f>
        <v>Lowmoor Business Park</v>
      </c>
      <c r="G365" s="12" t="str">
        <f>"GB-NG17 7JZ"</f>
        <v>GB-NG17 7JZ</v>
      </c>
      <c r="H365" s="12" t="str">
        <f>"Nottinghamshire"</f>
        <v>Nottinghamshire</v>
      </c>
      <c r="I365" s="12" t="str">
        <f>"KT007056"</f>
        <v>KT007056</v>
      </c>
      <c r="J365" s="12" t="str">
        <f>"Swiss AR Services GmbH"</f>
        <v>Swiss AR Services GmbH</v>
      </c>
      <c r="K365" s="12" t="str">
        <f>"Industriestrasse 47"</f>
        <v>Industriestrasse 47</v>
      </c>
      <c r="L365" s="12" t="str">
        <f>"CH-6300"</f>
        <v>CH-6300</v>
      </c>
      <c r="M365" s="12" t="str">
        <f>"Zug"</f>
        <v>Zug</v>
      </c>
      <c r="N365" s="12" t="str">
        <f>"CHRN-AR-20000807"</f>
        <v>CHRN-AR-20000807</v>
      </c>
      <c r="O365" s="12" t="str">
        <f>"KT001216"</f>
        <v>KT001216</v>
      </c>
      <c r="P365" s="13" t="str">
        <f>"Mediq Suisse AG"</f>
        <v>Mediq Suisse AG</v>
      </c>
    </row>
    <row r="366" spans="1:16" x14ac:dyDescent="0.15">
      <c r="A366" s="11" t="str">
        <f>"ADV-CR4428"</f>
        <v>ADV-CR4428</v>
      </c>
      <c r="B366" s="12" t="str">
        <f>"Hemosep Intra-Operative Kit"</f>
        <v>Hemosep Intra-Operative Kit</v>
      </c>
      <c r="C366" s="12" t="str">
        <f>"MDR Risikoklasse IIb"</f>
        <v>MDR Risikoklasse IIb</v>
      </c>
      <c r="D366" s="12" t="str">
        <f>"KO15818"</f>
        <v>KO15818</v>
      </c>
      <c r="E366" s="12" t="str">
        <f>"Advancis Medical UK"</f>
        <v>Advancis Medical UK</v>
      </c>
      <c r="F366" s="12" t="str">
        <f>"Lowmoor Business Park"</f>
        <v>Lowmoor Business Park</v>
      </c>
      <c r="G366" s="12" t="str">
        <f>"GB-NG17 7JZ"</f>
        <v>GB-NG17 7JZ</v>
      </c>
      <c r="H366" s="12" t="str">
        <f>"Nottinghamshire"</f>
        <v>Nottinghamshire</v>
      </c>
      <c r="I366" s="12" t="str">
        <f>"KT007056"</f>
        <v>KT007056</v>
      </c>
      <c r="J366" s="12" t="str">
        <f>"Swiss AR Services GmbH"</f>
        <v>Swiss AR Services GmbH</v>
      </c>
      <c r="K366" s="12" t="str">
        <f>"Industriestrasse 47"</f>
        <v>Industriestrasse 47</v>
      </c>
      <c r="L366" s="12" t="str">
        <f>"CH-6300"</f>
        <v>CH-6300</v>
      </c>
      <c r="M366" s="12" t="str">
        <f>"Zug"</f>
        <v>Zug</v>
      </c>
      <c r="N366" s="12" t="str">
        <f>"CHRN-AR-20000807"</f>
        <v>CHRN-AR-20000807</v>
      </c>
      <c r="O366" s="12" t="str">
        <f>"KT001216"</f>
        <v>KT001216</v>
      </c>
      <c r="P366" s="13" t="str">
        <f>"Mediq Suisse AG"</f>
        <v>Mediq Suisse AG</v>
      </c>
    </row>
    <row r="367" spans="1:16" x14ac:dyDescent="0.15">
      <c r="A367" s="11" t="str">
        <f>"ADV-CR4429"</f>
        <v>ADV-CR4429</v>
      </c>
      <c r="B367" s="12" t="str">
        <f>"Hemosep Intra-Operative Stand"</f>
        <v>Hemosep Intra-Operative Stand</v>
      </c>
      <c r="C367" s="12" t="str">
        <f>"MDR Risikoklasse IIb"</f>
        <v>MDR Risikoklasse IIb</v>
      </c>
      <c r="D367" s="12" t="str">
        <f>"KO15818"</f>
        <v>KO15818</v>
      </c>
      <c r="E367" s="12" t="str">
        <f>"Advancis Medical UK"</f>
        <v>Advancis Medical UK</v>
      </c>
      <c r="F367" s="12" t="str">
        <f>"Lowmoor Business Park"</f>
        <v>Lowmoor Business Park</v>
      </c>
      <c r="G367" s="12" t="str">
        <f>"GB-NG17 7JZ"</f>
        <v>GB-NG17 7JZ</v>
      </c>
      <c r="H367" s="12" t="str">
        <f>"Nottinghamshire"</f>
        <v>Nottinghamshire</v>
      </c>
      <c r="I367" s="12" t="str">
        <f>"KT007056"</f>
        <v>KT007056</v>
      </c>
      <c r="J367" s="12" t="str">
        <f>"Swiss AR Services GmbH"</f>
        <v>Swiss AR Services GmbH</v>
      </c>
      <c r="K367" s="12" t="str">
        <f>"Industriestrasse 47"</f>
        <v>Industriestrasse 47</v>
      </c>
      <c r="L367" s="12" t="str">
        <f>"CH-6300"</f>
        <v>CH-6300</v>
      </c>
      <c r="M367" s="12" t="str">
        <f>"Zug"</f>
        <v>Zug</v>
      </c>
      <c r="N367" s="12" t="str">
        <f>"CHRN-AR-20000807"</f>
        <v>CHRN-AR-20000807</v>
      </c>
      <c r="O367" s="12" t="str">
        <f>"KT001216"</f>
        <v>KT001216</v>
      </c>
      <c r="P367" s="13" t="str">
        <f>"Mediq Suisse AG"</f>
        <v>Mediq Suisse AG</v>
      </c>
    </row>
    <row r="368" spans="1:16" x14ac:dyDescent="0.15">
      <c r="A368" s="11" t="str">
        <f>"ADV-CR4490"</f>
        <v>ADV-CR4490</v>
      </c>
      <c r="B368" s="12" t="str">
        <f>"Advazorb Areola - Protective breast dressing 130 mm"</f>
        <v>Advazorb Areola - Protective breast dressing 130 mm</v>
      </c>
      <c r="C368" s="12" t="str">
        <f>"MDR Risikoklasse IIb"</f>
        <v>MDR Risikoklasse IIb</v>
      </c>
      <c r="D368" s="12" t="str">
        <f>"KO15818"</f>
        <v>KO15818</v>
      </c>
      <c r="E368" s="12" t="str">
        <f>"Advancis Medical UK"</f>
        <v>Advancis Medical UK</v>
      </c>
      <c r="F368" s="12" t="str">
        <f>"Lowmoor Business Park"</f>
        <v>Lowmoor Business Park</v>
      </c>
      <c r="G368" s="12" t="str">
        <f>"GB-NG17 7JZ"</f>
        <v>GB-NG17 7JZ</v>
      </c>
      <c r="H368" s="12" t="str">
        <f>"Nottinghamshire"</f>
        <v>Nottinghamshire</v>
      </c>
      <c r="I368" s="12" t="str">
        <f>"KT007056"</f>
        <v>KT007056</v>
      </c>
      <c r="J368" s="12" t="str">
        <f>"Swiss AR Services GmbH"</f>
        <v>Swiss AR Services GmbH</v>
      </c>
      <c r="K368" s="12" t="str">
        <f>"Industriestrasse 47"</f>
        <v>Industriestrasse 47</v>
      </c>
      <c r="L368" s="12" t="str">
        <f>"CH-6300"</f>
        <v>CH-6300</v>
      </c>
      <c r="M368" s="12" t="str">
        <f>"Zug"</f>
        <v>Zug</v>
      </c>
      <c r="N368" s="12" t="str">
        <f>"CHRN-AR-20000807"</f>
        <v>CHRN-AR-20000807</v>
      </c>
      <c r="O368" s="12" t="str">
        <f>"KT001216"</f>
        <v>KT001216</v>
      </c>
      <c r="P368" s="13" t="str">
        <f>"Mediq Suisse AG"</f>
        <v>Mediq Suisse AG</v>
      </c>
    </row>
    <row r="369" spans="1:16" x14ac:dyDescent="0.15">
      <c r="A369" s="11" t="str">
        <f>"ADV-CR4493"</f>
        <v>ADV-CR4493</v>
      </c>
      <c r="B369" s="12" t="str">
        <f>"Activon Honey Tube 20g"</f>
        <v>Activon Honey Tube 20g</v>
      </c>
      <c r="C369" s="12" t="str">
        <f>"MDR Risikoklasse IIb"</f>
        <v>MDR Risikoklasse IIb</v>
      </c>
      <c r="D369" s="12" t="str">
        <f>"KO15818"</f>
        <v>KO15818</v>
      </c>
      <c r="E369" s="12" t="str">
        <f>"Advancis Medical UK"</f>
        <v>Advancis Medical UK</v>
      </c>
      <c r="F369" s="12" t="str">
        <f>"Lowmoor Business Park"</f>
        <v>Lowmoor Business Park</v>
      </c>
      <c r="G369" s="12" t="str">
        <f>"GB-NG17 7JZ"</f>
        <v>GB-NG17 7JZ</v>
      </c>
      <c r="H369" s="12" t="str">
        <f>"Nottinghamshire"</f>
        <v>Nottinghamshire</v>
      </c>
      <c r="I369" s="12" t="str">
        <f>"KT007056"</f>
        <v>KT007056</v>
      </c>
      <c r="J369" s="12" t="str">
        <f>"Swiss AR Services GmbH"</f>
        <v>Swiss AR Services GmbH</v>
      </c>
      <c r="K369" s="12" t="str">
        <f>"Industriestrasse 47"</f>
        <v>Industriestrasse 47</v>
      </c>
      <c r="L369" s="12" t="str">
        <f>"CH-6300"</f>
        <v>CH-6300</v>
      </c>
      <c r="M369" s="12" t="str">
        <f>"Zug"</f>
        <v>Zug</v>
      </c>
      <c r="N369" s="12" t="str">
        <f>"CHRN-AR-20000807"</f>
        <v>CHRN-AR-20000807</v>
      </c>
      <c r="O369" s="12" t="str">
        <f>"KT001216"</f>
        <v>KT001216</v>
      </c>
      <c r="P369" s="13" t="str">
        <f>"Mediq Suisse AG"</f>
        <v>Mediq Suisse AG</v>
      </c>
    </row>
    <row r="370" spans="1:16" x14ac:dyDescent="0.15">
      <c r="A370" s="11" t="str">
        <f>"BEL-007-00049"</f>
        <v>BEL-007-00049</v>
      </c>
      <c r="B370" s="12" t="str">
        <f>"Rad-75mm, Schraubenlagerbruch Criticool"</f>
        <v>Rad-75mm, Schraubenlagerbruch Criticool</v>
      </c>
      <c r="C370" s="12" t="str">
        <f>"MDR Risikoklasse IIb"</f>
        <v>MDR Risikoklasse IIb</v>
      </c>
      <c r="D370" s="12" t="str">
        <f>"KO10136"</f>
        <v>KO10136</v>
      </c>
      <c r="E370" s="12" t="str">
        <f>"Belmont Medical Technologies"</f>
        <v>Belmont Medical Technologies</v>
      </c>
      <c r="F370" s="12" t="str">
        <f>"780 Boston Rd"</f>
        <v>780 Boston Rd</v>
      </c>
      <c r="G370" s="12" t="str">
        <f>"US-01821"</f>
        <v>US-01821</v>
      </c>
      <c r="H370" s="12" t="str">
        <f>"MA-Billerica"</f>
        <v>MA-Billerica</v>
      </c>
      <c r="I370" s="12" t="str">
        <f>"KT005665"</f>
        <v>KT005665</v>
      </c>
      <c r="J370" s="12" t="str">
        <f>"MedEnvoy Switzerland"</f>
        <v>MedEnvoy Switzerland</v>
      </c>
      <c r="K370" s="12" t="str">
        <f>"Gotthardstrasse 28"</f>
        <v>Gotthardstrasse 28</v>
      </c>
      <c r="L370" s="12" t="str">
        <f>"CH-6302"</f>
        <v>CH-6302</v>
      </c>
      <c r="M370" s="12" t="str">
        <f>"Zug"</f>
        <v>Zug</v>
      </c>
      <c r="N370" s="12" t="str">
        <f>"CHRN-AR-20000310"</f>
        <v>CHRN-AR-20000310</v>
      </c>
      <c r="O370" s="12" t="str">
        <f>"KT001216"</f>
        <v>KT001216</v>
      </c>
      <c r="P370" s="13" t="str">
        <f>"Mediq Suisse AG"</f>
        <v>Mediq Suisse AG</v>
      </c>
    </row>
    <row r="371" spans="1:16" x14ac:dyDescent="0.15">
      <c r="A371" s="11" t="str">
        <f>"BEL-014-00036"</f>
        <v>BEL-014-00036</v>
      </c>
      <c r="B371" s="12" t="str">
        <f>"Core Temperature Probe (7F) (Disposable)"</f>
        <v>Core Temperature Probe (7F) (Disposable)</v>
      </c>
      <c r="C371" s="12" t="str">
        <f>"MDR Risikoklasse IIb"</f>
        <v>MDR Risikoklasse IIb</v>
      </c>
      <c r="D371" s="12" t="str">
        <f>"KO10136"</f>
        <v>KO10136</v>
      </c>
      <c r="E371" s="12" t="str">
        <f>"Belmont Medical Technologies"</f>
        <v>Belmont Medical Technologies</v>
      </c>
      <c r="F371" s="12" t="str">
        <f>"780 Boston Rd"</f>
        <v>780 Boston Rd</v>
      </c>
      <c r="G371" s="12" t="str">
        <f>"US-01821"</f>
        <v>US-01821</v>
      </c>
      <c r="H371" s="12" t="str">
        <f>"MA-Billerica"</f>
        <v>MA-Billerica</v>
      </c>
      <c r="I371" s="12" t="str">
        <f>"KT005665"</f>
        <v>KT005665</v>
      </c>
      <c r="J371" s="12" t="str">
        <f>"MedEnvoy Switzerland"</f>
        <v>MedEnvoy Switzerland</v>
      </c>
      <c r="K371" s="12" t="str">
        <f>"Gotthardstrasse 28"</f>
        <v>Gotthardstrasse 28</v>
      </c>
      <c r="L371" s="12" t="str">
        <f>"CH-6302"</f>
        <v>CH-6302</v>
      </c>
      <c r="M371" s="12" t="str">
        <f>"Zug"</f>
        <v>Zug</v>
      </c>
      <c r="N371" s="12" t="str">
        <f>"CHRN-AR-20000310"</f>
        <v>CHRN-AR-20000310</v>
      </c>
      <c r="O371" s="12" t="str">
        <f>"KT001216"</f>
        <v>KT001216</v>
      </c>
      <c r="P371" s="13" t="str">
        <f>"Mediq Suisse AG"</f>
        <v>Mediq Suisse AG</v>
      </c>
    </row>
    <row r="372" spans="1:16" x14ac:dyDescent="0.15">
      <c r="A372" s="11" t="str">
        <f>"BEL-014-00038"</f>
        <v>BEL-014-00038</v>
      </c>
      <c r="B372" s="12" t="str">
        <f>"Core Temperature Probe (9F) (Disposable)"</f>
        <v>Core Temperature Probe (9F) (Disposable)</v>
      </c>
      <c r="C372" s="12" t="str">
        <f>"MDR Risikoklasse IIb"</f>
        <v>MDR Risikoklasse IIb</v>
      </c>
      <c r="D372" s="12" t="str">
        <f>"KO10136"</f>
        <v>KO10136</v>
      </c>
      <c r="E372" s="12" t="str">
        <f>"Belmont Medical Technologies"</f>
        <v>Belmont Medical Technologies</v>
      </c>
      <c r="F372" s="12" t="str">
        <f>"780 Boston Rd"</f>
        <v>780 Boston Rd</v>
      </c>
      <c r="G372" s="12" t="str">
        <f>"US-01821"</f>
        <v>US-01821</v>
      </c>
      <c r="H372" s="12" t="str">
        <f>"MA-Billerica"</f>
        <v>MA-Billerica</v>
      </c>
      <c r="I372" s="12" t="str">
        <f>"KT005665"</f>
        <v>KT005665</v>
      </c>
      <c r="J372" s="12" t="str">
        <f>"MedEnvoy Switzerland"</f>
        <v>MedEnvoy Switzerland</v>
      </c>
      <c r="K372" s="12" t="str">
        <f>"Gotthardstrasse 28"</f>
        <v>Gotthardstrasse 28</v>
      </c>
      <c r="L372" s="12" t="str">
        <f>"CH-6302"</f>
        <v>CH-6302</v>
      </c>
      <c r="M372" s="12" t="str">
        <f>"Zug"</f>
        <v>Zug</v>
      </c>
      <c r="N372" s="12" t="str">
        <f>"CHRN-AR-20000310"</f>
        <v>CHRN-AR-20000310</v>
      </c>
      <c r="O372" s="12" t="str">
        <f>"KT001216"</f>
        <v>KT001216</v>
      </c>
      <c r="P372" s="13" t="str">
        <f>"Mediq Suisse AG"</f>
        <v>Mediq Suisse AG</v>
      </c>
    </row>
    <row r="373" spans="1:16" x14ac:dyDescent="0.15">
      <c r="A373" s="11" t="str">
        <f>"BEL-014-00321"</f>
        <v>BEL-014-00321</v>
      </c>
      <c r="B373" s="12" t="str">
        <f>"Surface Temperature Probe (Disposable)"</f>
        <v>Surface Temperature Probe (Disposable)</v>
      </c>
      <c r="C373" s="12" t="str">
        <f>"MDR Risikoklasse IIb"</f>
        <v>MDR Risikoklasse IIb</v>
      </c>
      <c r="D373" s="12" t="str">
        <f>"KO10136"</f>
        <v>KO10136</v>
      </c>
      <c r="E373" s="12" t="str">
        <f>"Belmont Medical Technologies"</f>
        <v>Belmont Medical Technologies</v>
      </c>
      <c r="F373" s="12" t="str">
        <f>"780 Boston Rd"</f>
        <v>780 Boston Rd</v>
      </c>
      <c r="G373" s="12" t="str">
        <f>"US-01821"</f>
        <v>US-01821</v>
      </c>
      <c r="H373" s="12" t="str">
        <f>"MA-Billerica"</f>
        <v>MA-Billerica</v>
      </c>
      <c r="I373" s="12" t="str">
        <f>"KT005665"</f>
        <v>KT005665</v>
      </c>
      <c r="J373" s="12" t="str">
        <f>"MedEnvoy Switzerland"</f>
        <v>MedEnvoy Switzerland</v>
      </c>
      <c r="K373" s="12" t="str">
        <f>"Gotthardstrasse 28"</f>
        <v>Gotthardstrasse 28</v>
      </c>
      <c r="L373" s="12" t="str">
        <f>"CH-6302"</f>
        <v>CH-6302</v>
      </c>
      <c r="M373" s="12" t="str">
        <f>"Zug"</f>
        <v>Zug</v>
      </c>
      <c r="N373" s="12" t="str">
        <f>"CHRN-AR-20000310"</f>
        <v>CHRN-AR-20000310</v>
      </c>
      <c r="O373" s="12" t="str">
        <f>"KT001216"</f>
        <v>KT001216</v>
      </c>
      <c r="P373" s="13" t="str">
        <f>"Mediq Suisse AG"</f>
        <v>Mediq Suisse AG</v>
      </c>
    </row>
    <row r="374" spans="1:16" x14ac:dyDescent="0.15">
      <c r="A374" s="11" t="str">
        <f>"BEL-017-00245"</f>
        <v>BEL-017-00245</v>
      </c>
      <c r="B374" s="12" t="str">
        <f>"Simulator für Kern- und Oberflächentemperatur"</f>
        <v>Simulator für Kern- und Oberflächentemperatur</v>
      </c>
      <c r="C374" s="12" t="str">
        <f>"MDR Risikoklasse IIb"</f>
        <v>MDR Risikoklasse IIb</v>
      </c>
      <c r="D374" s="12" t="str">
        <f>"KO10136"</f>
        <v>KO10136</v>
      </c>
      <c r="E374" s="12" t="str">
        <f>"Belmont Medical Technologies"</f>
        <v>Belmont Medical Technologies</v>
      </c>
      <c r="F374" s="12" t="str">
        <f>"780 Boston Rd"</f>
        <v>780 Boston Rd</v>
      </c>
      <c r="G374" s="12" t="str">
        <f>"US-01821"</f>
        <v>US-01821</v>
      </c>
      <c r="H374" s="12" t="str">
        <f>"MA-Billerica"</f>
        <v>MA-Billerica</v>
      </c>
      <c r="I374" s="12" t="str">
        <f>"KT005665"</f>
        <v>KT005665</v>
      </c>
      <c r="J374" s="12" t="str">
        <f>"MedEnvoy Switzerland"</f>
        <v>MedEnvoy Switzerland</v>
      </c>
      <c r="K374" s="12" t="str">
        <f>"Gotthardstrasse 28"</f>
        <v>Gotthardstrasse 28</v>
      </c>
      <c r="L374" s="12" t="str">
        <f>"CH-6302"</f>
        <v>CH-6302</v>
      </c>
      <c r="M374" s="12" t="str">
        <f>"Zug"</f>
        <v>Zug</v>
      </c>
      <c r="N374" s="12" t="str">
        <f>"CHRN-AR-20000310"</f>
        <v>CHRN-AR-20000310</v>
      </c>
      <c r="O374" s="12" t="str">
        <f>"KT001216"</f>
        <v>KT001216</v>
      </c>
      <c r="P374" s="13" t="str">
        <f>"Mediq Suisse AG"</f>
        <v>Mediq Suisse AG</v>
      </c>
    </row>
    <row r="375" spans="1:16" x14ac:dyDescent="0.15">
      <c r="A375" s="11" t="str">
        <f>"BEL-200-00147"</f>
        <v>BEL-200-00147</v>
      </c>
      <c r="B375" s="12" t="str">
        <f>"Connecting Water Hose (2 by 3 Way) (Critical Cool only)"</f>
        <v>Connecting Water Hose (2 by 3 Way) (Critical Cool only)</v>
      </c>
      <c r="C375" s="12" t="str">
        <f>"MDR Risikoklasse IIb"</f>
        <v>MDR Risikoklasse IIb</v>
      </c>
      <c r="D375" s="12" t="str">
        <f>"KO10136"</f>
        <v>KO10136</v>
      </c>
      <c r="E375" s="12" t="str">
        <f>"Belmont Medical Technologies"</f>
        <v>Belmont Medical Technologies</v>
      </c>
      <c r="F375" s="12" t="str">
        <f>"780 Boston Rd"</f>
        <v>780 Boston Rd</v>
      </c>
      <c r="G375" s="12" t="str">
        <f>"US-01821"</f>
        <v>US-01821</v>
      </c>
      <c r="H375" s="12" t="str">
        <f>"MA-Billerica"</f>
        <v>MA-Billerica</v>
      </c>
      <c r="I375" s="12" t="str">
        <f>"KT005665"</f>
        <v>KT005665</v>
      </c>
      <c r="J375" s="12" t="str">
        <f>"MedEnvoy Switzerland"</f>
        <v>MedEnvoy Switzerland</v>
      </c>
      <c r="K375" s="12" t="str">
        <f>"Gotthardstrasse 28"</f>
        <v>Gotthardstrasse 28</v>
      </c>
      <c r="L375" s="12" t="str">
        <f>"CH-6302"</f>
        <v>CH-6302</v>
      </c>
      <c r="M375" s="12" t="str">
        <f>"Zug"</f>
        <v>Zug</v>
      </c>
      <c r="N375" s="12" t="str">
        <f>"CHRN-AR-20000310"</f>
        <v>CHRN-AR-20000310</v>
      </c>
      <c r="O375" s="12" t="str">
        <f>"KT001216"</f>
        <v>KT001216</v>
      </c>
      <c r="P375" s="13" t="str">
        <f>"Mediq Suisse AG"</f>
        <v>Mediq Suisse AG</v>
      </c>
    </row>
    <row r="376" spans="1:16" x14ac:dyDescent="0.15">
      <c r="A376" s="11" t="str">
        <f>"BEL-508-03500"</f>
        <v>BEL-508-03500</v>
      </c>
      <c r="B376" s="12" t="str">
        <f>"Thermodecke CureWrap Erwachsene"</f>
        <v>Thermodecke CureWrap Erwachsene</v>
      </c>
      <c r="C376" s="12" t="str">
        <f>"MDR Risikoklasse I"</f>
        <v>MDR Risikoklasse I</v>
      </c>
      <c r="D376" s="12" t="str">
        <f>"KO10136"</f>
        <v>KO10136</v>
      </c>
      <c r="E376" s="12" t="str">
        <f>"Belmont Medical Technologies"</f>
        <v>Belmont Medical Technologies</v>
      </c>
      <c r="F376" s="12" t="str">
        <f>"780 Boston Rd"</f>
        <v>780 Boston Rd</v>
      </c>
      <c r="G376" s="12" t="str">
        <f>"US-01821"</f>
        <v>US-01821</v>
      </c>
      <c r="H376" s="12" t="str">
        <f>"MA-Billerica"</f>
        <v>MA-Billerica</v>
      </c>
      <c r="I376" s="12" t="str">
        <f>"KT005665"</f>
        <v>KT005665</v>
      </c>
      <c r="J376" s="12" t="str">
        <f>"MedEnvoy Switzerland"</f>
        <v>MedEnvoy Switzerland</v>
      </c>
      <c r="K376" s="12" t="str">
        <f>"Gotthardstrasse 28"</f>
        <v>Gotthardstrasse 28</v>
      </c>
      <c r="L376" s="12" t="str">
        <f>"CH-6302"</f>
        <v>CH-6302</v>
      </c>
      <c r="M376" s="12" t="str">
        <f>"Zug"</f>
        <v>Zug</v>
      </c>
      <c r="N376" s="12" t="str">
        <f>"CHRN-AR-20000310"</f>
        <v>CHRN-AR-20000310</v>
      </c>
      <c r="O376" s="12" t="str">
        <f>"KT001216"</f>
        <v>KT001216</v>
      </c>
      <c r="P376" s="13" t="str">
        <f>"Mediq Suisse AG"</f>
        <v>Mediq Suisse AG</v>
      </c>
    </row>
    <row r="377" spans="1:16" x14ac:dyDescent="0.15">
      <c r="A377" s="11" t="str">
        <f>"BEL-508-03518"</f>
        <v>BEL-508-03518</v>
      </c>
      <c r="B377" s="12" t="str">
        <f>"Thermodecke CureWrap Kinder bis 4kg"</f>
        <v>Thermodecke CureWrap Kinder bis 4kg</v>
      </c>
      <c r="C377" s="12" t="str">
        <f>"MDR Risikoklasse I"</f>
        <v>MDR Risikoklasse I</v>
      </c>
      <c r="D377" s="12" t="str">
        <f>"KO10136"</f>
        <v>KO10136</v>
      </c>
      <c r="E377" s="12" t="str">
        <f>"Belmont Medical Technologies"</f>
        <v>Belmont Medical Technologies</v>
      </c>
      <c r="F377" s="12" t="str">
        <f>"780 Boston Rd"</f>
        <v>780 Boston Rd</v>
      </c>
      <c r="G377" s="12" t="str">
        <f>"US-01821"</f>
        <v>US-01821</v>
      </c>
      <c r="H377" s="12" t="str">
        <f>"MA-Billerica"</f>
        <v>MA-Billerica</v>
      </c>
      <c r="I377" s="12" t="str">
        <f>"KT005665"</f>
        <v>KT005665</v>
      </c>
      <c r="J377" s="12" t="str">
        <f>"MedEnvoy Switzerland"</f>
        <v>MedEnvoy Switzerland</v>
      </c>
      <c r="K377" s="12" t="str">
        <f>"Gotthardstrasse 28"</f>
        <v>Gotthardstrasse 28</v>
      </c>
      <c r="L377" s="12" t="str">
        <f>"CH-6302"</f>
        <v>CH-6302</v>
      </c>
      <c r="M377" s="12" t="str">
        <f>"Zug"</f>
        <v>Zug</v>
      </c>
      <c r="N377" s="12" t="str">
        <f>"CHRN-AR-20000310"</f>
        <v>CHRN-AR-20000310</v>
      </c>
      <c r="O377" s="12" t="str">
        <f>"KT001216"</f>
        <v>KT001216</v>
      </c>
      <c r="P377" s="13" t="str">
        <f>"Mediq Suisse AG"</f>
        <v>Mediq Suisse AG</v>
      </c>
    </row>
    <row r="378" spans="1:16" x14ac:dyDescent="0.15">
      <c r="A378" s="11" t="str">
        <f>"BEL-508-03521"</f>
        <v>BEL-508-03521</v>
      </c>
      <c r="B378" s="12" t="str">
        <f>"Thermodecke CureWrap Kinder 4-7kg"</f>
        <v>Thermodecke CureWrap Kinder 4-7kg</v>
      </c>
      <c r="C378" s="12" t="str">
        <f>"MDR Risikoklasse I"</f>
        <v>MDR Risikoklasse I</v>
      </c>
      <c r="D378" s="12" t="str">
        <f>"KO10136"</f>
        <v>KO10136</v>
      </c>
      <c r="E378" s="12" t="str">
        <f>"Belmont Medical Technologies"</f>
        <v>Belmont Medical Technologies</v>
      </c>
      <c r="F378" s="12" t="str">
        <f>"780 Boston Rd"</f>
        <v>780 Boston Rd</v>
      </c>
      <c r="G378" s="12" t="str">
        <f>"US-01821"</f>
        <v>US-01821</v>
      </c>
      <c r="H378" s="12" t="str">
        <f>"MA-Billerica"</f>
        <v>MA-Billerica</v>
      </c>
      <c r="I378" s="12" t="str">
        <f>"KT005665"</f>
        <v>KT005665</v>
      </c>
      <c r="J378" s="12" t="str">
        <f>"MedEnvoy Switzerland"</f>
        <v>MedEnvoy Switzerland</v>
      </c>
      <c r="K378" s="12" t="str">
        <f>"Gotthardstrasse 28"</f>
        <v>Gotthardstrasse 28</v>
      </c>
      <c r="L378" s="12" t="str">
        <f>"CH-6302"</f>
        <v>CH-6302</v>
      </c>
      <c r="M378" s="12" t="str">
        <f>"Zug"</f>
        <v>Zug</v>
      </c>
      <c r="N378" s="12" t="str">
        <f>"CHRN-AR-20000310"</f>
        <v>CHRN-AR-20000310</v>
      </c>
      <c r="O378" s="12" t="str">
        <f>"KT001216"</f>
        <v>KT001216</v>
      </c>
      <c r="P378" s="13" t="str">
        <f>"Mediq Suisse AG"</f>
        <v>Mediq Suisse AG</v>
      </c>
    </row>
    <row r="379" spans="1:16" x14ac:dyDescent="0.15">
      <c r="A379" s="11" t="str">
        <f>"BEL-512-03131"</f>
        <v>BEL-512-03131</v>
      </c>
      <c r="B379" s="12" t="str">
        <f>"Thermodecke Kinder 79-91cm"</f>
        <v>Thermodecke Kinder 79-91cm</v>
      </c>
      <c r="C379" s="12" t="str">
        <f>"MDR Risikoklasse I"</f>
        <v>MDR Risikoklasse I</v>
      </c>
      <c r="D379" s="12" t="str">
        <f>"KO10136"</f>
        <v>KO10136</v>
      </c>
      <c r="E379" s="12" t="str">
        <f>"Belmont Medical Technologies"</f>
        <v>Belmont Medical Technologies</v>
      </c>
      <c r="F379" s="12" t="str">
        <f>"780 Boston Rd"</f>
        <v>780 Boston Rd</v>
      </c>
      <c r="G379" s="12" t="str">
        <f>"US-01821"</f>
        <v>US-01821</v>
      </c>
      <c r="H379" s="12" t="str">
        <f>"MA-Billerica"</f>
        <v>MA-Billerica</v>
      </c>
      <c r="I379" s="12" t="str">
        <f>"KT005665"</f>
        <v>KT005665</v>
      </c>
      <c r="J379" s="12" t="str">
        <f>"MedEnvoy Switzerland"</f>
        <v>MedEnvoy Switzerland</v>
      </c>
      <c r="K379" s="12" t="str">
        <f>"Gotthardstrasse 28"</f>
        <v>Gotthardstrasse 28</v>
      </c>
      <c r="L379" s="12" t="str">
        <f>"CH-6302"</f>
        <v>CH-6302</v>
      </c>
      <c r="M379" s="12" t="str">
        <f>"Zug"</f>
        <v>Zug</v>
      </c>
      <c r="N379" s="12" t="str">
        <f>"CHRN-AR-20000310"</f>
        <v>CHRN-AR-20000310</v>
      </c>
      <c r="O379" s="12" t="str">
        <f>"KT001216"</f>
        <v>KT001216</v>
      </c>
      <c r="P379" s="13" t="str">
        <f>"Mediq Suisse AG"</f>
        <v>Mediq Suisse AG</v>
      </c>
    </row>
    <row r="380" spans="1:16" x14ac:dyDescent="0.15">
      <c r="A380" s="11" t="str">
        <f>"BEL-512-03136"</f>
        <v>BEL-512-03136</v>
      </c>
      <c r="B380" s="12" t="str">
        <f>"Thermodecke Kinder 91-104cm"</f>
        <v>Thermodecke Kinder 91-104cm</v>
      </c>
      <c r="C380" s="12" t="str">
        <f>"MDR Risikoklasse I"</f>
        <v>MDR Risikoklasse I</v>
      </c>
      <c r="D380" s="12" t="str">
        <f>"KO10136"</f>
        <v>KO10136</v>
      </c>
      <c r="E380" s="12" t="str">
        <f>"Belmont Medical Technologies"</f>
        <v>Belmont Medical Technologies</v>
      </c>
      <c r="F380" s="12" t="str">
        <f>"780 Boston Rd"</f>
        <v>780 Boston Rd</v>
      </c>
      <c r="G380" s="12" t="str">
        <f>"US-01821"</f>
        <v>US-01821</v>
      </c>
      <c r="H380" s="12" t="str">
        <f>"MA-Billerica"</f>
        <v>MA-Billerica</v>
      </c>
      <c r="I380" s="12" t="str">
        <f>"KT005665"</f>
        <v>KT005665</v>
      </c>
      <c r="J380" s="12" t="str">
        <f>"MedEnvoy Switzerland"</f>
        <v>MedEnvoy Switzerland</v>
      </c>
      <c r="K380" s="12" t="str">
        <f>"Gotthardstrasse 28"</f>
        <v>Gotthardstrasse 28</v>
      </c>
      <c r="L380" s="12" t="str">
        <f>"CH-6302"</f>
        <v>CH-6302</v>
      </c>
      <c r="M380" s="12" t="str">
        <f>"Zug"</f>
        <v>Zug</v>
      </c>
      <c r="N380" s="12" t="str">
        <f>"CHRN-AR-20000310"</f>
        <v>CHRN-AR-20000310</v>
      </c>
      <c r="O380" s="12" t="str">
        <f>"KT001216"</f>
        <v>KT001216</v>
      </c>
      <c r="P380" s="13" t="str">
        <f>"Mediq Suisse AG"</f>
        <v>Mediq Suisse AG</v>
      </c>
    </row>
    <row r="381" spans="1:16" x14ac:dyDescent="0.15">
      <c r="A381" s="11" t="str">
        <f>"BEL-512-03148"</f>
        <v>BEL-512-03148</v>
      </c>
      <c r="B381" s="12" t="str">
        <f>"Thermodecke Kinder 122-135cm"</f>
        <v>Thermodecke Kinder 122-135cm</v>
      </c>
      <c r="C381" s="12" t="str">
        <f>"MDR Risikoklasse I"</f>
        <v>MDR Risikoklasse I</v>
      </c>
      <c r="D381" s="12" t="str">
        <f>"KO10136"</f>
        <v>KO10136</v>
      </c>
      <c r="E381" s="12" t="str">
        <f>"Belmont Medical Technologies"</f>
        <v>Belmont Medical Technologies</v>
      </c>
      <c r="F381" s="12" t="str">
        <f>"780 Boston Rd"</f>
        <v>780 Boston Rd</v>
      </c>
      <c r="G381" s="12" t="str">
        <f>"US-01821"</f>
        <v>US-01821</v>
      </c>
      <c r="H381" s="12" t="str">
        <f>"MA-Billerica"</f>
        <v>MA-Billerica</v>
      </c>
      <c r="I381" s="12" t="str">
        <f>"KT005665"</f>
        <v>KT005665</v>
      </c>
      <c r="J381" s="12" t="str">
        <f>"MedEnvoy Switzerland"</f>
        <v>MedEnvoy Switzerland</v>
      </c>
      <c r="K381" s="12" t="str">
        <f>"Gotthardstrasse 28"</f>
        <v>Gotthardstrasse 28</v>
      </c>
      <c r="L381" s="12" t="str">
        <f>"CH-6302"</f>
        <v>CH-6302</v>
      </c>
      <c r="M381" s="12" t="str">
        <f>"Zug"</f>
        <v>Zug</v>
      </c>
      <c r="N381" s="12" t="str">
        <f>"CHRN-AR-20000310"</f>
        <v>CHRN-AR-20000310</v>
      </c>
      <c r="O381" s="12" t="str">
        <f>"KT001216"</f>
        <v>KT001216</v>
      </c>
      <c r="P381" s="13" t="str">
        <f>"Mediq Suisse AG"</f>
        <v>Mediq Suisse AG</v>
      </c>
    </row>
    <row r="382" spans="1:16" x14ac:dyDescent="0.15">
      <c r="A382" s="11" t="str">
        <f>"BEL-512-03160"</f>
        <v>BEL-512-03160</v>
      </c>
      <c r="B382" s="12" t="str">
        <f>"Thermodecke Universal Erwachsene 152-168cm"</f>
        <v>Thermodecke Universal Erwachsene 152-168cm</v>
      </c>
      <c r="C382" s="12" t="str">
        <f>"MDR Risikoklasse I"</f>
        <v>MDR Risikoklasse I</v>
      </c>
      <c r="D382" s="12" t="str">
        <f>"KO10136"</f>
        <v>KO10136</v>
      </c>
      <c r="E382" s="12" t="str">
        <f>"Belmont Medical Technologies"</f>
        <v>Belmont Medical Technologies</v>
      </c>
      <c r="F382" s="12" t="str">
        <f>"780 Boston Rd"</f>
        <v>780 Boston Rd</v>
      </c>
      <c r="G382" s="12" t="str">
        <f>"US-01821"</f>
        <v>US-01821</v>
      </c>
      <c r="H382" s="12" t="str">
        <f>"MA-Billerica"</f>
        <v>MA-Billerica</v>
      </c>
      <c r="I382" s="12" t="str">
        <f>"KT005665"</f>
        <v>KT005665</v>
      </c>
      <c r="J382" s="12" t="str">
        <f>"MedEnvoy Switzerland"</f>
        <v>MedEnvoy Switzerland</v>
      </c>
      <c r="K382" s="12" t="str">
        <f>"Gotthardstrasse 28"</f>
        <v>Gotthardstrasse 28</v>
      </c>
      <c r="L382" s="12" t="str">
        <f>"CH-6302"</f>
        <v>CH-6302</v>
      </c>
      <c r="M382" s="12" t="str">
        <f>"Zug"</f>
        <v>Zug</v>
      </c>
      <c r="N382" s="12" t="str">
        <f>"CHRN-AR-20000310"</f>
        <v>CHRN-AR-20000310</v>
      </c>
      <c r="O382" s="12" t="str">
        <f>"KT001216"</f>
        <v>KT001216</v>
      </c>
      <c r="P382" s="13" t="str">
        <f>"Mediq Suisse AG"</f>
        <v>Mediq Suisse AG</v>
      </c>
    </row>
    <row r="383" spans="1:16" x14ac:dyDescent="0.15">
      <c r="A383" s="11" t="str">
        <f>"BEL-512-03363"</f>
        <v>BEL-512-03363</v>
      </c>
      <c r="B383" s="12" t="str">
        <f>"Thermodecke Kardio Erwachsene 165-180cm"</f>
        <v>Thermodecke Kardio Erwachsene 165-180cm</v>
      </c>
      <c r="C383" s="12" t="str">
        <f>"MDR Risikoklasse I"</f>
        <v>MDR Risikoklasse I</v>
      </c>
      <c r="D383" s="12" t="str">
        <f>"KO10136"</f>
        <v>KO10136</v>
      </c>
      <c r="E383" s="12" t="str">
        <f>"Belmont Medical Technologies"</f>
        <v>Belmont Medical Technologies</v>
      </c>
      <c r="F383" s="12" t="str">
        <f>"780 Boston Rd"</f>
        <v>780 Boston Rd</v>
      </c>
      <c r="G383" s="12" t="str">
        <f>"US-01821"</f>
        <v>US-01821</v>
      </c>
      <c r="H383" s="12" t="str">
        <f>"MA-Billerica"</f>
        <v>MA-Billerica</v>
      </c>
      <c r="I383" s="12" t="str">
        <f>"KT005665"</f>
        <v>KT005665</v>
      </c>
      <c r="J383" s="12" t="str">
        <f>"MedEnvoy Switzerland"</f>
        <v>MedEnvoy Switzerland</v>
      </c>
      <c r="K383" s="12" t="str">
        <f>"Gotthardstrasse 28"</f>
        <v>Gotthardstrasse 28</v>
      </c>
      <c r="L383" s="12" t="str">
        <f>"CH-6302"</f>
        <v>CH-6302</v>
      </c>
      <c r="M383" s="12" t="str">
        <f>"Zug"</f>
        <v>Zug</v>
      </c>
      <c r="N383" s="12" t="str">
        <f>"CHRN-AR-20000310"</f>
        <v>CHRN-AR-20000310</v>
      </c>
      <c r="O383" s="12" t="str">
        <f>"KT001216"</f>
        <v>KT001216</v>
      </c>
      <c r="P383" s="13" t="str">
        <f>"Mediq Suisse AG"</f>
        <v>Mediq Suisse AG</v>
      </c>
    </row>
    <row r="384" spans="1:16" x14ac:dyDescent="0.15">
      <c r="A384" s="11" t="str">
        <f>"BEL-524-03118"</f>
        <v>BEL-524-03118</v>
      </c>
      <c r="B384" s="12" t="str">
        <f>"Thermodecke Klein-Kinder 2.5-4kg"</f>
        <v>Thermodecke Klein-Kinder 2.5-4kg</v>
      </c>
      <c r="C384" s="12" t="str">
        <f>"MDR Risikoklasse I"</f>
        <v>MDR Risikoklasse I</v>
      </c>
      <c r="D384" s="12" t="str">
        <f>"KO10136"</f>
        <v>KO10136</v>
      </c>
      <c r="E384" s="12" t="str">
        <f>"Belmont Medical Technologies"</f>
        <v>Belmont Medical Technologies</v>
      </c>
      <c r="F384" s="12" t="str">
        <f>"780 Boston Rd"</f>
        <v>780 Boston Rd</v>
      </c>
      <c r="G384" s="12" t="str">
        <f>"US-01821"</f>
        <v>US-01821</v>
      </c>
      <c r="H384" s="12" t="str">
        <f>"MA-Billerica"</f>
        <v>MA-Billerica</v>
      </c>
      <c r="I384" s="12" t="str">
        <f>"KT005665"</f>
        <v>KT005665</v>
      </c>
      <c r="J384" s="12" t="str">
        <f>"MedEnvoy Switzerland"</f>
        <v>MedEnvoy Switzerland</v>
      </c>
      <c r="K384" s="12" t="str">
        <f>"Gotthardstrasse 28"</f>
        <v>Gotthardstrasse 28</v>
      </c>
      <c r="L384" s="12" t="str">
        <f>"CH-6302"</f>
        <v>CH-6302</v>
      </c>
      <c r="M384" s="12" t="str">
        <f>"Zug"</f>
        <v>Zug</v>
      </c>
      <c r="N384" s="12" t="str">
        <f>"CHRN-AR-20000310"</f>
        <v>CHRN-AR-20000310</v>
      </c>
      <c r="O384" s="12" t="str">
        <f>"KT001216"</f>
        <v>KT001216</v>
      </c>
      <c r="P384" s="13" t="str">
        <f>"Mediq Suisse AG"</f>
        <v>Mediq Suisse AG</v>
      </c>
    </row>
    <row r="385" spans="1:16" x14ac:dyDescent="0.15">
      <c r="A385" s="11" t="str">
        <f>"BEL-524-03121"</f>
        <v>BEL-524-03121</v>
      </c>
      <c r="B385" s="12" t="str">
        <f>"Thermodecke Klein-Kinder 4-7kg"</f>
        <v>Thermodecke Klein-Kinder 4-7kg</v>
      </c>
      <c r="C385" s="12" t="str">
        <f>"MDR Risikoklasse I"</f>
        <v>MDR Risikoklasse I</v>
      </c>
      <c r="D385" s="12" t="str">
        <f>"KO10136"</f>
        <v>KO10136</v>
      </c>
      <c r="E385" s="12" t="str">
        <f>"Belmont Medical Technologies"</f>
        <v>Belmont Medical Technologies</v>
      </c>
      <c r="F385" s="12" t="str">
        <f>"780 Boston Rd"</f>
        <v>780 Boston Rd</v>
      </c>
      <c r="G385" s="12" t="str">
        <f>"US-01821"</f>
        <v>US-01821</v>
      </c>
      <c r="H385" s="12" t="str">
        <f>"MA-Billerica"</f>
        <v>MA-Billerica</v>
      </c>
      <c r="I385" s="12" t="str">
        <f>"KT005665"</f>
        <v>KT005665</v>
      </c>
      <c r="J385" s="12" t="str">
        <f>"MedEnvoy Switzerland"</f>
        <v>MedEnvoy Switzerland</v>
      </c>
      <c r="K385" s="12" t="str">
        <f>"Gotthardstrasse 28"</f>
        <v>Gotthardstrasse 28</v>
      </c>
      <c r="L385" s="12" t="str">
        <f>"CH-6302"</f>
        <v>CH-6302</v>
      </c>
      <c r="M385" s="12" t="str">
        <f>"Zug"</f>
        <v>Zug</v>
      </c>
      <c r="N385" s="12" t="str">
        <f>"CHRN-AR-20000310"</f>
        <v>CHRN-AR-20000310</v>
      </c>
      <c r="O385" s="12" t="str">
        <f>"KT001216"</f>
        <v>KT001216</v>
      </c>
      <c r="P385" s="13" t="str">
        <f>"Mediq Suisse AG"</f>
        <v>Mediq Suisse AG</v>
      </c>
    </row>
    <row r="386" spans="1:16" x14ac:dyDescent="0.15">
      <c r="A386" s="11" t="str">
        <f>"BEL-524-03125"</f>
        <v>BEL-524-03125</v>
      </c>
      <c r="B386" s="12" t="str">
        <f>"Thermodecke Klein-Kinder 7-11kg"</f>
        <v>Thermodecke Klein-Kinder 7-11kg</v>
      </c>
      <c r="C386" s="12" t="str">
        <f>"MDR Risikoklasse I"</f>
        <v>MDR Risikoklasse I</v>
      </c>
      <c r="D386" s="12" t="str">
        <f>"KO10136"</f>
        <v>KO10136</v>
      </c>
      <c r="E386" s="12" t="str">
        <f>"Belmont Medical Technologies"</f>
        <v>Belmont Medical Technologies</v>
      </c>
      <c r="F386" s="12" t="str">
        <f>"780 Boston Rd"</f>
        <v>780 Boston Rd</v>
      </c>
      <c r="G386" s="12" t="str">
        <f>"US-01821"</f>
        <v>US-01821</v>
      </c>
      <c r="H386" s="12" t="str">
        <f>"MA-Billerica"</f>
        <v>MA-Billerica</v>
      </c>
      <c r="I386" s="12" t="str">
        <f>"KT005665"</f>
        <v>KT005665</v>
      </c>
      <c r="J386" s="12" t="str">
        <f>"MedEnvoy Switzerland"</f>
        <v>MedEnvoy Switzerland</v>
      </c>
      <c r="K386" s="12" t="str">
        <f>"Gotthardstrasse 28"</f>
        <v>Gotthardstrasse 28</v>
      </c>
      <c r="L386" s="12" t="str">
        <f>"CH-6302"</f>
        <v>CH-6302</v>
      </c>
      <c r="M386" s="12" t="str">
        <f>"Zug"</f>
        <v>Zug</v>
      </c>
      <c r="N386" s="12" t="str">
        <f>"CHRN-AR-20000310"</f>
        <v>CHRN-AR-20000310</v>
      </c>
      <c r="O386" s="12" t="str">
        <f>"KT001216"</f>
        <v>KT001216</v>
      </c>
      <c r="P386" s="13" t="str">
        <f>"Mediq Suisse AG"</f>
        <v>Mediq Suisse AG</v>
      </c>
    </row>
    <row r="387" spans="1:16" x14ac:dyDescent="0.15">
      <c r="A387" s="11" t="str">
        <f>"BEL-902-00001A"</f>
        <v>BEL-902-00001A</v>
      </c>
      <c r="B387" s="12" t="str">
        <f>"Hyperthermia Pumpe für HIPEC Therapie"</f>
        <v>Hyperthermia Pumpe für HIPEC Therapie</v>
      </c>
      <c r="C387" s="12" t="str">
        <f>"MDR Risikoklasse IIb"</f>
        <v>MDR Risikoklasse IIb</v>
      </c>
      <c r="D387" s="12" t="str">
        <f>"KO10136"</f>
        <v>KO10136</v>
      </c>
      <c r="E387" s="12" t="str">
        <f>"Belmont Medical Technologies"</f>
        <v>Belmont Medical Technologies</v>
      </c>
      <c r="F387" s="12" t="str">
        <f>"780 Boston Rd"</f>
        <v>780 Boston Rd</v>
      </c>
      <c r="G387" s="12" t="str">
        <f>"US-01821"</f>
        <v>US-01821</v>
      </c>
      <c r="H387" s="12" t="str">
        <f>"MA-Billerica"</f>
        <v>MA-Billerica</v>
      </c>
      <c r="I387" s="12" t="str">
        <f>"KT005665"</f>
        <v>KT005665</v>
      </c>
      <c r="J387" s="12" t="str">
        <f>"MedEnvoy Switzerland"</f>
        <v>MedEnvoy Switzerland</v>
      </c>
      <c r="K387" s="12" t="str">
        <f>"Gotthardstrasse 28"</f>
        <v>Gotthardstrasse 28</v>
      </c>
      <c r="L387" s="12" t="str">
        <f>"CH-6302"</f>
        <v>CH-6302</v>
      </c>
      <c r="M387" s="12" t="str">
        <f>"Zug"</f>
        <v>Zug</v>
      </c>
      <c r="N387" s="12" t="str">
        <f>"CHRN-AR-20000310"</f>
        <v>CHRN-AR-20000310</v>
      </c>
      <c r="O387" s="12" t="str">
        <f>"KT001216"</f>
        <v>KT001216</v>
      </c>
      <c r="P387" s="13" t="str">
        <f>"Mediq Suisse AG"</f>
        <v>Mediq Suisse AG</v>
      </c>
    </row>
    <row r="388" spans="1:16" x14ac:dyDescent="0.15">
      <c r="A388" s="11" t="str">
        <f>"BEL-902-00004"</f>
        <v>BEL-902-00004</v>
      </c>
      <c r="B388" s="12" t="str">
        <f>"Hyperthermia Patientline Straight In-/Y-Out. 2 Res"</f>
        <v>Hyperthermia Patientline Straight In-/Y-Out. 2 Res</v>
      </c>
      <c r="C388" s="12" t="str">
        <f>"MDR Risikoklasse IIa"</f>
        <v>MDR Risikoklasse IIa</v>
      </c>
      <c r="D388" s="12" t="str">
        <f>"KO10136"</f>
        <v>KO10136</v>
      </c>
      <c r="E388" s="12" t="str">
        <f>"Belmont Medical Technologies"</f>
        <v>Belmont Medical Technologies</v>
      </c>
      <c r="F388" s="12" t="str">
        <f>"780 Boston Rd"</f>
        <v>780 Boston Rd</v>
      </c>
      <c r="G388" s="12" t="str">
        <f>"US-01821"</f>
        <v>US-01821</v>
      </c>
      <c r="H388" s="12" t="str">
        <f>"MA-Billerica"</f>
        <v>MA-Billerica</v>
      </c>
      <c r="I388" s="12" t="str">
        <f>"KT005665"</f>
        <v>KT005665</v>
      </c>
      <c r="J388" s="12" t="str">
        <f>"MedEnvoy Switzerland"</f>
        <v>MedEnvoy Switzerland</v>
      </c>
      <c r="K388" s="12" t="str">
        <f>"Gotthardstrasse 28"</f>
        <v>Gotthardstrasse 28</v>
      </c>
      <c r="L388" s="12" t="str">
        <f>"CH-6302"</f>
        <v>CH-6302</v>
      </c>
      <c r="M388" s="12" t="str">
        <f>"Zug"</f>
        <v>Zug</v>
      </c>
      <c r="N388" s="12" t="str">
        <f>"CHRN-AR-20000310"</f>
        <v>CHRN-AR-20000310</v>
      </c>
      <c r="O388" s="12" t="str">
        <f>"KT001216"</f>
        <v>KT001216</v>
      </c>
      <c r="P388" s="13" t="str">
        <f>"Mediq Suisse AG"</f>
        <v>Mediq Suisse AG</v>
      </c>
    </row>
    <row r="389" spans="1:16" x14ac:dyDescent="0.15">
      <c r="A389" s="11" t="str">
        <f>"BEL-902-000040P"</f>
        <v>BEL-902-000040P</v>
      </c>
      <c r="B389" s="12" t="str">
        <f>"Hyperthermia Set, straight inflow/bifurcated outfl"</f>
        <v>Hyperthermia Set, straight inflow/bifurcated outfl</v>
      </c>
      <c r="C389" s="12" t="str">
        <f>"MDR Risikoklasse IIa"</f>
        <v>MDR Risikoklasse IIa</v>
      </c>
      <c r="D389" s="12" t="str">
        <f>"KO10136"</f>
        <v>KO10136</v>
      </c>
      <c r="E389" s="12" t="str">
        <f>"Belmont Medical Technologies"</f>
        <v>Belmont Medical Technologies</v>
      </c>
      <c r="F389" s="12" t="str">
        <f>"780 Boston Rd"</f>
        <v>780 Boston Rd</v>
      </c>
      <c r="G389" s="12" t="str">
        <f>"US-01821"</f>
        <v>US-01821</v>
      </c>
      <c r="H389" s="12" t="str">
        <f>"MA-Billerica"</f>
        <v>MA-Billerica</v>
      </c>
      <c r="I389" s="12" t="str">
        <f>"KT005665"</f>
        <v>KT005665</v>
      </c>
      <c r="J389" s="12" t="str">
        <f>"MedEnvoy Switzerland"</f>
        <v>MedEnvoy Switzerland</v>
      </c>
      <c r="K389" s="12" t="str">
        <f>"Gotthardstrasse 28"</f>
        <v>Gotthardstrasse 28</v>
      </c>
      <c r="L389" s="12" t="str">
        <f>"CH-6302"</f>
        <v>CH-6302</v>
      </c>
      <c r="M389" s="12" t="str">
        <f>"Zug"</f>
        <v>Zug</v>
      </c>
      <c r="N389" s="12" t="str">
        <f>"CHRN-AR-20000310"</f>
        <v>CHRN-AR-20000310</v>
      </c>
      <c r="O389" s="12" t="str">
        <f>"KT001216"</f>
        <v>KT001216</v>
      </c>
      <c r="P389" s="13" t="str">
        <f>"Mediq Suisse AG"</f>
        <v>Mediq Suisse AG</v>
      </c>
    </row>
    <row r="390" spans="1:16" x14ac:dyDescent="0.15">
      <c r="A390" s="11" t="str">
        <f>"BEL-902-00036"</f>
        <v>BEL-902-00036</v>
      </c>
      <c r="B390" s="12" t="str">
        <f>"HIPEC Lavage Cannula Connector"</f>
        <v>HIPEC Lavage Cannula Connector</v>
      </c>
      <c r="C390" s="12" t="str">
        <f>"MDR Risikoklasse IIa"</f>
        <v>MDR Risikoklasse IIa</v>
      </c>
      <c r="D390" s="12" t="str">
        <f>"KO10136"</f>
        <v>KO10136</v>
      </c>
      <c r="E390" s="12" t="str">
        <f>"Belmont Medical Technologies"</f>
        <v>Belmont Medical Technologies</v>
      </c>
      <c r="F390" s="12" t="str">
        <f>"780 Boston Rd"</f>
        <v>780 Boston Rd</v>
      </c>
      <c r="G390" s="12" t="str">
        <f>"US-01821"</f>
        <v>US-01821</v>
      </c>
      <c r="H390" s="12" t="str">
        <f>"MA-Billerica"</f>
        <v>MA-Billerica</v>
      </c>
      <c r="I390" s="12" t="str">
        <f>"KT005665"</f>
        <v>KT005665</v>
      </c>
      <c r="J390" s="12" t="str">
        <f>"MedEnvoy Switzerland"</f>
        <v>MedEnvoy Switzerland</v>
      </c>
      <c r="K390" s="12" t="str">
        <f>"Gotthardstrasse 28"</f>
        <v>Gotthardstrasse 28</v>
      </c>
      <c r="L390" s="12" t="str">
        <f>"CH-6302"</f>
        <v>CH-6302</v>
      </c>
      <c r="M390" s="12" t="str">
        <f>"Zug"</f>
        <v>Zug</v>
      </c>
      <c r="N390" s="12" t="str">
        <f>"CHRN-AR-20000310"</f>
        <v>CHRN-AR-20000310</v>
      </c>
      <c r="O390" s="12" t="str">
        <f>"KT001216"</f>
        <v>KT001216</v>
      </c>
      <c r="P390" s="13" t="str">
        <f>"Mediq Suisse AG"</f>
        <v>Mediq Suisse AG</v>
      </c>
    </row>
    <row r="391" spans="1:16" x14ac:dyDescent="0.15">
      <c r="A391" s="11" t="str">
        <f>"BEL-902-00037"</f>
        <v>BEL-902-00037</v>
      </c>
      <c r="B391" s="12" t="str">
        <f>"HIPEC Set 4,4 l, direkter Ein- &amp; Ausgang"</f>
        <v>HIPEC Set 4,4 l, direkter Ein- &amp; Ausgang</v>
      </c>
      <c r="C391" s="12" t="str">
        <f>"MDR Risikoklasse IIb"</f>
        <v>MDR Risikoklasse IIb</v>
      </c>
      <c r="D391" s="12" t="str">
        <f>"KO10136"</f>
        <v>KO10136</v>
      </c>
      <c r="E391" s="12" t="str">
        <f>"Belmont Medical Technologies"</f>
        <v>Belmont Medical Technologies</v>
      </c>
      <c r="F391" s="12" t="str">
        <f>"780 Boston Rd"</f>
        <v>780 Boston Rd</v>
      </c>
      <c r="G391" s="12" t="str">
        <f>"US-01821"</f>
        <v>US-01821</v>
      </c>
      <c r="H391" s="12" t="str">
        <f>"MA-Billerica"</f>
        <v>MA-Billerica</v>
      </c>
      <c r="I391" s="12" t="str">
        <f>"KT005665"</f>
        <v>KT005665</v>
      </c>
      <c r="J391" s="12" t="str">
        <f>"MedEnvoy Switzerland"</f>
        <v>MedEnvoy Switzerland</v>
      </c>
      <c r="K391" s="12" t="str">
        <f>"Gotthardstrasse 28"</f>
        <v>Gotthardstrasse 28</v>
      </c>
      <c r="L391" s="12" t="str">
        <f>"CH-6302"</f>
        <v>CH-6302</v>
      </c>
      <c r="M391" s="12" t="str">
        <f>"Zug"</f>
        <v>Zug</v>
      </c>
      <c r="N391" s="12" t="str">
        <f>"CHRN-AR-20000310"</f>
        <v>CHRN-AR-20000310</v>
      </c>
      <c r="O391" s="12" t="str">
        <f>"KT001216"</f>
        <v>KT001216</v>
      </c>
      <c r="P391" s="13" t="str">
        <f>"Mediq Suisse AG"</f>
        <v>Mediq Suisse AG</v>
      </c>
    </row>
    <row r="392" spans="1:16" x14ac:dyDescent="0.15">
      <c r="A392" s="11" t="str">
        <f>"BEL-902-00038"</f>
        <v>BEL-902-00038</v>
      </c>
      <c r="B392" s="12" t="str">
        <f>"HIPEC Set 4.4 l, gegabelter Ausgang"</f>
        <v>HIPEC Set 4.4 l, gegabelter Ausgang</v>
      </c>
      <c r="C392" s="12" t="str">
        <f>"MDR Risikoklasse IIb"</f>
        <v>MDR Risikoklasse IIb</v>
      </c>
      <c r="D392" s="12" t="str">
        <f>"KO10136"</f>
        <v>KO10136</v>
      </c>
      <c r="E392" s="12" t="str">
        <f>"Belmont Medical Technologies"</f>
        <v>Belmont Medical Technologies</v>
      </c>
      <c r="F392" s="12" t="str">
        <f>"780 Boston Rd"</f>
        <v>780 Boston Rd</v>
      </c>
      <c r="G392" s="12" t="str">
        <f>"US-01821"</f>
        <v>US-01821</v>
      </c>
      <c r="H392" s="12" t="str">
        <f>"MA-Billerica"</f>
        <v>MA-Billerica</v>
      </c>
      <c r="I392" s="12" t="str">
        <f>"KT005665"</f>
        <v>KT005665</v>
      </c>
      <c r="J392" s="12" t="str">
        <f>"MedEnvoy Switzerland"</f>
        <v>MedEnvoy Switzerland</v>
      </c>
      <c r="K392" s="12" t="str">
        <f>"Gotthardstrasse 28"</f>
        <v>Gotthardstrasse 28</v>
      </c>
      <c r="L392" s="12" t="str">
        <f>"CH-6302"</f>
        <v>CH-6302</v>
      </c>
      <c r="M392" s="12" t="str">
        <f>"Zug"</f>
        <v>Zug</v>
      </c>
      <c r="N392" s="12" t="str">
        <f>"CHRN-AR-20000310"</f>
        <v>CHRN-AR-20000310</v>
      </c>
      <c r="O392" s="12" t="str">
        <f>"KT001216"</f>
        <v>KT001216</v>
      </c>
      <c r="P392" s="13" t="str">
        <f>"Mediq Suisse AG"</f>
        <v>Mediq Suisse AG</v>
      </c>
    </row>
    <row r="393" spans="1:16" x14ac:dyDescent="0.15">
      <c r="A393" s="11" t="str">
        <f>"BEL-902-00045"</f>
        <v>BEL-902-00045</v>
      </c>
      <c r="B393" s="12" t="str">
        <f>"HIPEC Procedure Kit"</f>
        <v>HIPEC Procedure Kit</v>
      </c>
      <c r="C393" s="12" t="str">
        <f>"MDR Risikoklasse IIb"</f>
        <v>MDR Risikoklasse IIb</v>
      </c>
      <c r="D393" s="12" t="str">
        <f>"KO10136"</f>
        <v>KO10136</v>
      </c>
      <c r="E393" s="12" t="str">
        <f>"Belmont Medical Technologies"</f>
        <v>Belmont Medical Technologies</v>
      </c>
      <c r="F393" s="12" t="str">
        <f>"780 Boston Rd"</f>
        <v>780 Boston Rd</v>
      </c>
      <c r="G393" s="12" t="str">
        <f>"US-01821"</f>
        <v>US-01821</v>
      </c>
      <c r="H393" s="12" t="str">
        <f>"MA-Billerica"</f>
        <v>MA-Billerica</v>
      </c>
      <c r="I393" s="12" t="str">
        <f>"KT005665"</f>
        <v>KT005665</v>
      </c>
      <c r="J393" s="12" t="str">
        <f>"MedEnvoy Switzerland"</f>
        <v>MedEnvoy Switzerland</v>
      </c>
      <c r="K393" s="12" t="str">
        <f>"Gotthardstrasse 28"</f>
        <v>Gotthardstrasse 28</v>
      </c>
      <c r="L393" s="12" t="str">
        <f>"CH-6302"</f>
        <v>CH-6302</v>
      </c>
      <c r="M393" s="12" t="str">
        <f>"Zug"</f>
        <v>Zug</v>
      </c>
      <c r="N393" s="12" t="str">
        <f>"CHRN-AR-20000310"</f>
        <v>CHRN-AR-20000310</v>
      </c>
      <c r="O393" s="12" t="str">
        <f>"KT001216"</f>
        <v>KT001216</v>
      </c>
      <c r="P393" s="13" t="str">
        <f>"Mediq Suisse AG"</f>
        <v>Mediq Suisse AG</v>
      </c>
    </row>
    <row r="394" spans="1:16" x14ac:dyDescent="0.15">
      <c r="A394" s="11" t="str">
        <f>"BEL-903-00004"</f>
        <v>BEL-903-00004</v>
      </c>
      <c r="B394" s="12" t="str">
        <f>"Dual Patient Line"</f>
        <v>Dual Patient Line</v>
      </c>
      <c r="C394" s="12" t="str">
        <f>"MDR Risikoklasse IIa"</f>
        <v>MDR Risikoklasse IIa</v>
      </c>
      <c r="D394" s="12" t="str">
        <f>"KO10136"</f>
        <v>KO10136</v>
      </c>
      <c r="E394" s="12" t="str">
        <f>"Belmont Medical Technologies"</f>
        <v>Belmont Medical Technologies</v>
      </c>
      <c r="F394" s="12" t="str">
        <f>"780 Boston Rd"</f>
        <v>780 Boston Rd</v>
      </c>
      <c r="G394" s="12" t="str">
        <f>"US-01821"</f>
        <v>US-01821</v>
      </c>
      <c r="H394" s="12" t="str">
        <f>"MA-Billerica"</f>
        <v>MA-Billerica</v>
      </c>
      <c r="I394" s="12" t="str">
        <f>"KT005665"</f>
        <v>KT005665</v>
      </c>
      <c r="J394" s="12" t="str">
        <f>"MedEnvoy Switzerland"</f>
        <v>MedEnvoy Switzerland</v>
      </c>
      <c r="K394" s="12" t="str">
        <f>"Gotthardstrasse 28"</f>
        <v>Gotthardstrasse 28</v>
      </c>
      <c r="L394" s="12" t="str">
        <f>"CH-6302"</f>
        <v>CH-6302</v>
      </c>
      <c r="M394" s="12" t="str">
        <f>"Zug"</f>
        <v>Zug</v>
      </c>
      <c r="N394" s="12" t="str">
        <f>"CHRN-AR-20000310"</f>
        <v>CHRN-AR-20000310</v>
      </c>
      <c r="O394" s="12" t="str">
        <f>"KT001216"</f>
        <v>KT001216</v>
      </c>
      <c r="P394" s="13" t="str">
        <f>"Mediq Suisse AG"</f>
        <v>Mediq Suisse AG</v>
      </c>
    </row>
    <row r="395" spans="1:16" x14ac:dyDescent="0.15">
      <c r="A395" s="11" t="str">
        <f>"BEL-903-00006"</f>
        <v>BEL-903-00006</v>
      </c>
      <c r="B395" s="12" t="str">
        <f>"RI-2 Universal 3 Spike Set"</f>
        <v>RI-2 Universal 3 Spike Set</v>
      </c>
      <c r="C395" s="12" t="str">
        <f>"MDR Risikoklasse IIb"</f>
        <v>MDR Risikoklasse IIb</v>
      </c>
      <c r="D395" s="12" t="str">
        <f>"KO10136"</f>
        <v>KO10136</v>
      </c>
      <c r="E395" s="12" t="str">
        <f>"Belmont Medical Technologies"</f>
        <v>Belmont Medical Technologies</v>
      </c>
      <c r="F395" s="12" t="str">
        <f>"780 Boston Rd"</f>
        <v>780 Boston Rd</v>
      </c>
      <c r="G395" s="12" t="str">
        <f>"US-01821"</f>
        <v>US-01821</v>
      </c>
      <c r="H395" s="12" t="str">
        <f>"MA-Billerica"</f>
        <v>MA-Billerica</v>
      </c>
      <c r="I395" s="12" t="str">
        <f>"KT005665"</f>
        <v>KT005665</v>
      </c>
      <c r="J395" s="12" t="str">
        <f>"MedEnvoy Switzerland"</f>
        <v>MedEnvoy Switzerland</v>
      </c>
      <c r="K395" s="12" t="str">
        <f>"Gotthardstrasse 28"</f>
        <v>Gotthardstrasse 28</v>
      </c>
      <c r="L395" s="12" t="str">
        <f>"CH-6302"</f>
        <v>CH-6302</v>
      </c>
      <c r="M395" s="12" t="str">
        <f>"Zug"</f>
        <v>Zug</v>
      </c>
      <c r="N395" s="12" t="str">
        <f>"CHRN-AR-20000310"</f>
        <v>CHRN-AR-20000310</v>
      </c>
      <c r="O395" s="12" t="str">
        <f>"KT001216"</f>
        <v>KT001216</v>
      </c>
      <c r="P395" s="13" t="str">
        <f>"Mediq Suisse AG"</f>
        <v>Mediq Suisse AG</v>
      </c>
    </row>
    <row r="396" spans="1:16" x14ac:dyDescent="0.15">
      <c r="A396" s="11" t="str">
        <f>"BEL-903-00018"</f>
        <v>BEL-903-00018</v>
      </c>
      <c r="B396" s="12" t="str">
        <f>"RI-2 Special 3.0 l Reservoir"</f>
        <v>RI-2 Special 3.0 l Reservoir</v>
      </c>
      <c r="C396" s="12" t="str">
        <f>"MDR Risikoklasse IIa"</f>
        <v>MDR Risikoklasse IIa</v>
      </c>
      <c r="D396" s="12" t="str">
        <f>"KO10136"</f>
        <v>KO10136</v>
      </c>
      <c r="E396" s="12" t="str">
        <f>"Belmont Medical Technologies"</f>
        <v>Belmont Medical Technologies</v>
      </c>
      <c r="F396" s="12" t="str">
        <f>"780 Boston Rd"</f>
        <v>780 Boston Rd</v>
      </c>
      <c r="G396" s="12" t="str">
        <f>"US-01821"</f>
        <v>US-01821</v>
      </c>
      <c r="H396" s="12" t="str">
        <f>"MA-Billerica"</f>
        <v>MA-Billerica</v>
      </c>
      <c r="I396" s="12" t="str">
        <f>"KT005665"</f>
        <v>KT005665</v>
      </c>
      <c r="J396" s="12" t="str">
        <f>"MedEnvoy Switzerland"</f>
        <v>MedEnvoy Switzerland</v>
      </c>
      <c r="K396" s="12" t="str">
        <f>"Gotthardstrasse 28"</f>
        <v>Gotthardstrasse 28</v>
      </c>
      <c r="L396" s="12" t="str">
        <f>"CH-6302"</f>
        <v>CH-6302</v>
      </c>
      <c r="M396" s="12" t="str">
        <f>"Zug"</f>
        <v>Zug</v>
      </c>
      <c r="N396" s="12" t="str">
        <f>"CHRN-AR-20000310"</f>
        <v>CHRN-AR-20000310</v>
      </c>
      <c r="O396" s="12" t="str">
        <f>"KT001216"</f>
        <v>KT001216</v>
      </c>
      <c r="P396" s="13" t="str">
        <f>"Mediq Suisse AG"</f>
        <v>Mediq Suisse AG</v>
      </c>
    </row>
    <row r="397" spans="1:16" x14ac:dyDescent="0.15">
      <c r="A397" s="11" t="str">
        <f>"BEL-903-00022"</f>
        <v>BEL-903-00022</v>
      </c>
      <c r="B397" s="12" t="str">
        <f>"Patient Line Extension"</f>
        <v>Patient Line Extension</v>
      </c>
      <c r="C397" s="12" t="str">
        <f>"MDR Risikoklasse IIb"</f>
        <v>MDR Risikoklasse IIb</v>
      </c>
      <c r="D397" s="12" t="str">
        <f>"KO10136"</f>
        <v>KO10136</v>
      </c>
      <c r="E397" s="12" t="str">
        <f>"Belmont Medical Technologies"</f>
        <v>Belmont Medical Technologies</v>
      </c>
      <c r="F397" s="12" t="str">
        <f>"780 Boston Rd"</f>
        <v>780 Boston Rd</v>
      </c>
      <c r="G397" s="12" t="str">
        <f>"US-01821"</f>
        <v>US-01821</v>
      </c>
      <c r="H397" s="12" t="str">
        <f>"MA-Billerica"</f>
        <v>MA-Billerica</v>
      </c>
      <c r="I397" s="12" t="str">
        <f>"KT005665"</f>
        <v>KT005665</v>
      </c>
      <c r="J397" s="12" t="str">
        <f>"MedEnvoy Switzerland"</f>
        <v>MedEnvoy Switzerland</v>
      </c>
      <c r="K397" s="12" t="str">
        <f>"Gotthardstrasse 28"</f>
        <v>Gotthardstrasse 28</v>
      </c>
      <c r="L397" s="12" t="str">
        <f>"CH-6302"</f>
        <v>CH-6302</v>
      </c>
      <c r="M397" s="12" t="str">
        <f>"Zug"</f>
        <v>Zug</v>
      </c>
      <c r="N397" s="12" t="str">
        <f>"CHRN-AR-20000310"</f>
        <v>CHRN-AR-20000310</v>
      </c>
      <c r="O397" s="12" t="str">
        <f>"KT001216"</f>
        <v>KT001216</v>
      </c>
      <c r="P397" s="13" t="str">
        <f>"Mediq Suisse AG"</f>
        <v>Mediq Suisse AG</v>
      </c>
    </row>
    <row r="398" spans="1:16" x14ac:dyDescent="0.15">
      <c r="A398" s="11" t="str">
        <f>"BEL-903-00037A"</f>
        <v>BEL-903-00037A</v>
      </c>
      <c r="B398" s="12" t="str">
        <f>"Rapid Infuser RI-2, 230V, 1000 ml/min"</f>
        <v>Rapid Infuser RI-2, 230V, 1000 ml/min</v>
      </c>
      <c r="C398" s="12" t="str">
        <f>"MDR Risikoklasse IIb"</f>
        <v>MDR Risikoklasse IIb</v>
      </c>
      <c r="D398" s="12" t="str">
        <f>"KO10136"</f>
        <v>KO10136</v>
      </c>
      <c r="E398" s="12" t="str">
        <f>"Belmont Medical Technologies"</f>
        <v>Belmont Medical Technologies</v>
      </c>
      <c r="F398" s="12" t="str">
        <f>"780 Boston Rd"</f>
        <v>780 Boston Rd</v>
      </c>
      <c r="G398" s="12" t="str">
        <f>"US-01821"</f>
        <v>US-01821</v>
      </c>
      <c r="H398" s="12" t="str">
        <f>"MA-Billerica"</f>
        <v>MA-Billerica</v>
      </c>
      <c r="I398" s="12" t="str">
        <f>"KT005665"</f>
        <v>KT005665</v>
      </c>
      <c r="J398" s="12" t="str">
        <f>"MedEnvoy Switzerland"</f>
        <v>MedEnvoy Switzerland</v>
      </c>
      <c r="K398" s="12" t="str">
        <f>"Gotthardstrasse 28"</f>
        <v>Gotthardstrasse 28</v>
      </c>
      <c r="L398" s="12" t="str">
        <f>"CH-6302"</f>
        <v>CH-6302</v>
      </c>
      <c r="M398" s="12" t="str">
        <f>"Zug"</f>
        <v>Zug</v>
      </c>
      <c r="N398" s="12" t="str">
        <f>"CHRN-AR-20000310"</f>
        <v>CHRN-AR-20000310</v>
      </c>
      <c r="O398" s="12" t="str">
        <f>"KT001216"</f>
        <v>KT001216</v>
      </c>
      <c r="P398" s="13" t="str">
        <f>"Mediq Suisse AG"</f>
        <v>Mediq Suisse AG</v>
      </c>
    </row>
    <row r="399" spans="1:16" x14ac:dyDescent="0.15">
      <c r="A399" s="11" t="str">
        <f>"BEL-903-00039A"</f>
        <v>BEL-903-00039A</v>
      </c>
      <c r="B399" s="12" t="str">
        <f>"Rapid Infuser RI-2, 230V, 750 ml/min"</f>
        <v>Rapid Infuser RI-2, 230V, 750 ml/min</v>
      </c>
      <c r="C399" s="12" t="str">
        <f>"MDR Risikoklasse IIb"</f>
        <v>MDR Risikoklasse IIb</v>
      </c>
      <c r="D399" s="12" t="str">
        <f>"KO10136"</f>
        <v>KO10136</v>
      </c>
      <c r="E399" s="12" t="str">
        <f>"Belmont Medical Technologies"</f>
        <v>Belmont Medical Technologies</v>
      </c>
      <c r="F399" s="12" t="str">
        <f>"780 Boston Rd"</f>
        <v>780 Boston Rd</v>
      </c>
      <c r="G399" s="12" t="str">
        <f>"US-01821"</f>
        <v>US-01821</v>
      </c>
      <c r="H399" s="12" t="str">
        <f>"MA-Billerica"</f>
        <v>MA-Billerica</v>
      </c>
      <c r="I399" s="12" t="str">
        <f>"KT005665"</f>
        <v>KT005665</v>
      </c>
      <c r="J399" s="12" t="str">
        <f>"MedEnvoy Switzerland"</f>
        <v>MedEnvoy Switzerland</v>
      </c>
      <c r="K399" s="12" t="str">
        <f>"Gotthardstrasse 28"</f>
        <v>Gotthardstrasse 28</v>
      </c>
      <c r="L399" s="12" t="str">
        <f>"CH-6302"</f>
        <v>CH-6302</v>
      </c>
      <c r="M399" s="12" t="str">
        <f>"Zug"</f>
        <v>Zug</v>
      </c>
      <c r="N399" s="12" t="str">
        <f>"CHRN-AR-20000310"</f>
        <v>CHRN-AR-20000310</v>
      </c>
      <c r="O399" s="12" t="str">
        <f>"KT001216"</f>
        <v>KT001216</v>
      </c>
      <c r="P399" s="13" t="str">
        <f>"Mediq Suisse AG"</f>
        <v>Mediq Suisse AG</v>
      </c>
    </row>
    <row r="400" spans="1:16" x14ac:dyDescent="0.15">
      <c r="A400" s="11" t="str">
        <f>"BEL-905-00010"</f>
        <v>BEL-905-00010</v>
      </c>
      <c r="B400" s="12" t="str">
        <f>"Buddy Infusions- und Blut-Wärmeset"</f>
        <v>Buddy Infusions- und Blut-Wärmeset</v>
      </c>
      <c r="C400" s="12" t="str">
        <f>"MDR Risikoklasse IIa"</f>
        <v>MDR Risikoklasse IIa</v>
      </c>
      <c r="D400" s="12" t="str">
        <f>"KO10136"</f>
        <v>KO10136</v>
      </c>
      <c r="E400" s="12" t="str">
        <f>"Belmont Medical Technologies"</f>
        <v>Belmont Medical Technologies</v>
      </c>
      <c r="F400" s="12" t="str">
        <f>"780 Boston Rd"</f>
        <v>780 Boston Rd</v>
      </c>
      <c r="G400" s="12" t="str">
        <f>"US-01821"</f>
        <v>US-01821</v>
      </c>
      <c r="H400" s="12" t="str">
        <f>"MA-Billerica"</f>
        <v>MA-Billerica</v>
      </c>
      <c r="I400" s="12" t="str">
        <f>"KT005665"</f>
        <v>KT005665</v>
      </c>
      <c r="J400" s="12" t="str">
        <f>"MedEnvoy Switzerland"</f>
        <v>MedEnvoy Switzerland</v>
      </c>
      <c r="K400" s="12" t="str">
        <f>"Gotthardstrasse 28"</f>
        <v>Gotthardstrasse 28</v>
      </c>
      <c r="L400" s="12" t="str">
        <f>"CH-6302"</f>
        <v>CH-6302</v>
      </c>
      <c r="M400" s="12" t="str">
        <f>"Zug"</f>
        <v>Zug</v>
      </c>
      <c r="N400" s="12" t="str">
        <f>"CHRN-AR-20000310"</f>
        <v>CHRN-AR-20000310</v>
      </c>
      <c r="O400" s="12" t="str">
        <f>"KT001216"</f>
        <v>KT001216</v>
      </c>
      <c r="P400" s="13" t="str">
        <f>"Mediq Suisse AG"</f>
        <v>Mediq Suisse AG</v>
      </c>
    </row>
    <row r="401" spans="1:16" x14ac:dyDescent="0.15">
      <c r="A401" s="11" t="str">
        <f>"BEL-905-00019"</f>
        <v>BEL-905-00019</v>
      </c>
      <c r="B401" s="12" t="str">
        <f>"Buddy Lite System, battery fluid warmer"</f>
        <v>Buddy Lite System, battery fluid warmer</v>
      </c>
      <c r="C401" s="12" t="str">
        <f>"MDR Risikoklasse IIb"</f>
        <v>MDR Risikoklasse IIb</v>
      </c>
      <c r="D401" s="12" t="str">
        <f>"KO10136"</f>
        <v>KO10136</v>
      </c>
      <c r="E401" s="12" t="str">
        <f>"Belmont Medical Technologies"</f>
        <v>Belmont Medical Technologies</v>
      </c>
      <c r="F401" s="12" t="str">
        <f>"780 Boston Rd"</f>
        <v>780 Boston Rd</v>
      </c>
      <c r="G401" s="12" t="str">
        <f>"US-01821"</f>
        <v>US-01821</v>
      </c>
      <c r="H401" s="12" t="str">
        <f>"MA-Billerica"</f>
        <v>MA-Billerica</v>
      </c>
      <c r="I401" s="12" t="str">
        <f>"KT005665"</f>
        <v>KT005665</v>
      </c>
      <c r="J401" s="12" t="str">
        <f>"MedEnvoy Switzerland"</f>
        <v>MedEnvoy Switzerland</v>
      </c>
      <c r="K401" s="12" t="str">
        <f>"Gotthardstrasse 28"</f>
        <v>Gotthardstrasse 28</v>
      </c>
      <c r="L401" s="12" t="str">
        <f>"CH-6302"</f>
        <v>CH-6302</v>
      </c>
      <c r="M401" s="12" t="str">
        <f>"Zug"</f>
        <v>Zug</v>
      </c>
      <c r="N401" s="12" t="str">
        <f>"CHRN-AR-20000310"</f>
        <v>CHRN-AR-20000310</v>
      </c>
      <c r="O401" s="12" t="str">
        <f>"KT001216"</f>
        <v>KT001216</v>
      </c>
      <c r="P401" s="13" t="str">
        <f>"Mediq Suisse AG"</f>
        <v>Mediq Suisse AG</v>
      </c>
    </row>
    <row r="402" spans="1:16" x14ac:dyDescent="0.15">
      <c r="A402" s="11" t="str">
        <f>"CIN-22110"</f>
        <v>CIN-22110</v>
      </c>
      <c r="B402" s="12" t="str">
        <f>"PlasmaDerm Abstandshalter Cutan Spacer"</f>
        <v>PlasmaDerm Abstandshalter Cutan Spacer</v>
      </c>
      <c r="C402" s="12" t="str">
        <f>"MDR Risikoklasse IIa"</f>
        <v>MDR Risikoklasse IIa</v>
      </c>
      <c r="D402" s="12" t="str">
        <f>"KO15465"</f>
        <v>KO15465</v>
      </c>
      <c r="E402" s="12" t="str">
        <f>"CINOGY System GmbH"</f>
        <v>CINOGY System GmbH</v>
      </c>
      <c r="F402" s="12" t="str">
        <f>"Charlottenburger Strasse 7"</f>
        <v>Charlottenburger Strasse 7</v>
      </c>
      <c r="G402" s="12" t="str">
        <f>"DE-37115"</f>
        <v>DE-37115</v>
      </c>
      <c r="H402" s="12" t="str">
        <f>"Duderstadt"</f>
        <v>Duderstadt</v>
      </c>
      <c r="I402" s="12" t="str">
        <f>"KT005670"</f>
        <v>KT005670</v>
      </c>
      <c r="J402" s="12" t="str">
        <f>"QS Engineering AG"</f>
        <v>QS Engineering AG</v>
      </c>
      <c r="K402" s="12" t="str">
        <f>"Erlenstrase 31"</f>
        <v>Erlenstrase 31</v>
      </c>
      <c r="L402" s="12" t="str">
        <f>"CH-4106"</f>
        <v>CH-4106</v>
      </c>
      <c r="M402" s="12" t="str">
        <f>"Therwil"</f>
        <v>Therwil</v>
      </c>
      <c r="N402" s="12" t="str">
        <f>"CHRN-AR-20000145"</f>
        <v>CHRN-AR-20000145</v>
      </c>
      <c r="O402" s="12" t="str">
        <f>"KT001216"</f>
        <v>KT001216</v>
      </c>
      <c r="P402" s="13" t="str">
        <f>"Mediq Suisse AG"</f>
        <v>Mediq Suisse AG</v>
      </c>
    </row>
    <row r="403" spans="1:16" x14ac:dyDescent="0.15">
      <c r="A403" s="11" t="str">
        <f>"CIN-22212"</f>
        <v>CIN-22212</v>
      </c>
      <c r="B403" s="12" t="str">
        <f>"PlasmaDerm Abstandshalter ""Spacer"" zu FLEX9060"</f>
        <v>PlasmaDerm Abstandshalter "Spacer" zu FLEX9060</v>
      </c>
      <c r="C403" s="12" t="str">
        <f>"MDR Risikoklasse IIa"</f>
        <v>MDR Risikoklasse IIa</v>
      </c>
      <c r="D403" s="12" t="str">
        <f>"KO15465"</f>
        <v>KO15465</v>
      </c>
      <c r="E403" s="12" t="str">
        <f>"CINOGY System GmbH"</f>
        <v>CINOGY System GmbH</v>
      </c>
      <c r="F403" s="12" t="str">
        <f>"Charlottenburger Strasse 7"</f>
        <v>Charlottenburger Strasse 7</v>
      </c>
      <c r="G403" s="12" t="str">
        <f>"DE-37115"</f>
        <v>DE-37115</v>
      </c>
      <c r="H403" s="12" t="str">
        <f>"Duderstadt"</f>
        <v>Duderstadt</v>
      </c>
      <c r="I403" s="12" t="str">
        <f>"KT005670"</f>
        <v>KT005670</v>
      </c>
      <c r="J403" s="12" t="str">
        <f>"QS Engineering AG"</f>
        <v>QS Engineering AG</v>
      </c>
      <c r="K403" s="12" t="str">
        <f>"Erlenstrase 31"</f>
        <v>Erlenstrase 31</v>
      </c>
      <c r="L403" s="12" t="str">
        <f>"CH-4106"</f>
        <v>CH-4106</v>
      </c>
      <c r="M403" s="12" t="str">
        <f>"Therwil"</f>
        <v>Therwil</v>
      </c>
      <c r="N403" s="12" t="str">
        <f>"CHRN-AR-20000145"</f>
        <v>CHRN-AR-20000145</v>
      </c>
      <c r="O403" s="12" t="str">
        <f>"KT001216"</f>
        <v>KT001216</v>
      </c>
      <c r="P403" s="13" t="str">
        <f>"Mediq Suisse AG"</f>
        <v>Mediq Suisse AG</v>
      </c>
    </row>
    <row r="404" spans="1:16" x14ac:dyDescent="0.15">
      <c r="A404" s="11" t="str">
        <f>"CIN-30340"</f>
        <v>CIN-30340</v>
      </c>
      <c r="B404" s="12" t="str">
        <f>"Steckernetzteil 12V 1500mA"</f>
        <v>Steckernetzteil 12V 1500mA</v>
      </c>
      <c r="C404" s="12" t="str">
        <f>"MDR Risikoklasse IIa"</f>
        <v>MDR Risikoklasse IIa</v>
      </c>
      <c r="D404" s="12" t="str">
        <f>"KO15465"</f>
        <v>KO15465</v>
      </c>
      <c r="E404" s="12" t="str">
        <f>"CINOGY System GmbH"</f>
        <v>CINOGY System GmbH</v>
      </c>
      <c r="F404" s="12" t="str">
        <f>"Charlottenburger Strasse 7"</f>
        <v>Charlottenburger Strasse 7</v>
      </c>
      <c r="G404" s="12" t="str">
        <f>"DE-37115"</f>
        <v>DE-37115</v>
      </c>
      <c r="H404" s="12" t="str">
        <f>"Duderstadt"</f>
        <v>Duderstadt</v>
      </c>
      <c r="I404" s="12" t="str">
        <f>"KT005670"</f>
        <v>KT005670</v>
      </c>
      <c r="J404" s="12" t="str">
        <f>"QS Engineering AG"</f>
        <v>QS Engineering AG</v>
      </c>
      <c r="K404" s="12" t="str">
        <f>"Erlenstrase 31"</f>
        <v>Erlenstrase 31</v>
      </c>
      <c r="L404" s="12" t="str">
        <f>"CH-4106"</f>
        <v>CH-4106</v>
      </c>
      <c r="M404" s="12" t="str">
        <f>"Therwil"</f>
        <v>Therwil</v>
      </c>
      <c r="N404" s="12" t="str">
        <f>"CHRN-AR-20000145"</f>
        <v>CHRN-AR-20000145</v>
      </c>
      <c r="O404" s="12" t="str">
        <f>"KT001216"</f>
        <v>KT001216</v>
      </c>
      <c r="P404" s="13" t="str">
        <f>"Mediq Suisse AG"</f>
        <v>Mediq Suisse AG</v>
      </c>
    </row>
    <row r="405" spans="1:16" x14ac:dyDescent="0.15">
      <c r="A405" s="11" t="str">
        <f>"CIN-FLEX_U"</f>
        <v>CIN-FLEX_U</v>
      </c>
      <c r="B405" s="12" t="str">
        <f>"PlasmaDerm Flex Gerät Universal EU"</f>
        <v>PlasmaDerm Flex Gerät Universal EU</v>
      </c>
      <c r="C405" s="12" t="str">
        <f>"MDR Risikoklasse IIa"</f>
        <v>MDR Risikoklasse IIa</v>
      </c>
      <c r="D405" s="12" t="str">
        <f>"KO15465"</f>
        <v>KO15465</v>
      </c>
      <c r="E405" s="12" t="str">
        <f>"CINOGY System GmbH"</f>
        <v>CINOGY System GmbH</v>
      </c>
      <c r="F405" s="12" t="str">
        <f>"Charlottenburger Strasse 7"</f>
        <v>Charlottenburger Strasse 7</v>
      </c>
      <c r="G405" s="12" t="str">
        <f>"DE-37115"</f>
        <v>DE-37115</v>
      </c>
      <c r="H405" s="12" t="str">
        <f>"Duderstadt"</f>
        <v>Duderstadt</v>
      </c>
      <c r="I405" s="12" t="str">
        <f>"KT005670"</f>
        <v>KT005670</v>
      </c>
      <c r="J405" s="12" t="str">
        <f>"QS Engineering AG"</f>
        <v>QS Engineering AG</v>
      </c>
      <c r="K405" s="12" t="str">
        <f>"Erlenstrase 31"</f>
        <v>Erlenstrase 31</v>
      </c>
      <c r="L405" s="12" t="str">
        <f>"CH-4106"</f>
        <v>CH-4106</v>
      </c>
      <c r="M405" s="12" t="str">
        <f>"Therwil"</f>
        <v>Therwil</v>
      </c>
      <c r="N405" s="12" t="str">
        <f>"CHRN-AR-20000145"</f>
        <v>CHRN-AR-20000145</v>
      </c>
      <c r="O405" s="12" t="str">
        <f>"KT001216"</f>
        <v>KT001216</v>
      </c>
      <c r="P405" s="13" t="str">
        <f>"Mediq Suisse AG"</f>
        <v>Mediq Suisse AG</v>
      </c>
    </row>
    <row r="406" spans="1:16" x14ac:dyDescent="0.15">
      <c r="A406" s="11" t="str">
        <f>"CIN-FLEX_U_CUTAN"</f>
        <v>CIN-FLEX_U_CUTAN</v>
      </c>
      <c r="B406" s="12" t="str">
        <f>"PlasmaDerm Flex Gerät Cutan Universal EU"</f>
        <v>PlasmaDerm Flex Gerät Cutan Universal EU</v>
      </c>
      <c r="C406" s="12" t="str">
        <f>"MDR Risikoklasse IIa"</f>
        <v>MDR Risikoklasse IIa</v>
      </c>
      <c r="D406" s="12" t="str">
        <f>"KO15465"</f>
        <v>KO15465</v>
      </c>
      <c r="E406" s="12" t="str">
        <f>"CINOGY System GmbH"</f>
        <v>CINOGY System GmbH</v>
      </c>
      <c r="F406" s="12" t="str">
        <f>"Charlottenburger Strasse 7"</f>
        <v>Charlottenburger Strasse 7</v>
      </c>
      <c r="G406" s="12" t="str">
        <f>"DE-37115"</f>
        <v>DE-37115</v>
      </c>
      <c r="H406" s="12" t="str">
        <f>"Duderstadt"</f>
        <v>Duderstadt</v>
      </c>
      <c r="I406" s="12" t="str">
        <f>"KT005670"</f>
        <v>KT005670</v>
      </c>
      <c r="J406" s="12" t="str">
        <f>"QS Engineering AG"</f>
        <v>QS Engineering AG</v>
      </c>
      <c r="K406" s="12" t="str">
        <f>"Erlenstrase 31"</f>
        <v>Erlenstrase 31</v>
      </c>
      <c r="L406" s="12" t="str">
        <f>"CH-4106"</f>
        <v>CH-4106</v>
      </c>
      <c r="M406" s="12" t="str">
        <f>"Therwil"</f>
        <v>Therwil</v>
      </c>
      <c r="N406" s="12" t="str">
        <f>"CHRN-AR-20000145"</f>
        <v>CHRN-AR-20000145</v>
      </c>
      <c r="O406" s="12" t="str">
        <f>"KT001216"</f>
        <v>KT001216</v>
      </c>
      <c r="P406" s="13" t="str">
        <f>"Mediq Suisse AG"</f>
        <v>Mediq Suisse AG</v>
      </c>
    </row>
    <row r="407" spans="1:16" x14ac:dyDescent="0.15">
      <c r="A407" s="11" t="str">
        <f>"CIN-FLEX9060"</f>
        <v>CIN-FLEX9060</v>
      </c>
      <c r="B407" s="12" t="str">
        <f>"PlasmaDerm DBD KaltPlasma Gerät, Modell 9060"</f>
        <v>PlasmaDerm DBD KaltPlasma Gerät, Modell 9060</v>
      </c>
      <c r="C407" s="12" t="str">
        <f>"MDR Risikoklasse IIa"</f>
        <v>MDR Risikoklasse IIa</v>
      </c>
      <c r="D407" s="12" t="str">
        <f>"KO15465"</f>
        <v>KO15465</v>
      </c>
      <c r="E407" s="12" t="str">
        <f>"CINOGY System GmbH"</f>
        <v>CINOGY System GmbH</v>
      </c>
      <c r="F407" s="12" t="str">
        <f>"Charlottenburger Strasse 7"</f>
        <v>Charlottenburger Strasse 7</v>
      </c>
      <c r="G407" s="12" t="str">
        <f>"DE-37115"</f>
        <v>DE-37115</v>
      </c>
      <c r="H407" s="12" t="str">
        <f>"Duderstadt"</f>
        <v>Duderstadt</v>
      </c>
      <c r="I407" s="12" t="str">
        <f>"KT005670"</f>
        <v>KT005670</v>
      </c>
      <c r="J407" s="12" t="str">
        <f>"QS Engineering AG"</f>
        <v>QS Engineering AG</v>
      </c>
      <c r="K407" s="12" t="str">
        <f>"Erlenstrase 31"</f>
        <v>Erlenstrase 31</v>
      </c>
      <c r="L407" s="12" t="str">
        <f>"CH-4106"</f>
        <v>CH-4106</v>
      </c>
      <c r="M407" s="12" t="str">
        <f>"Therwil"</f>
        <v>Therwil</v>
      </c>
      <c r="N407" s="12" t="str">
        <f>"CHRN-AR-20000145"</f>
        <v>CHRN-AR-20000145</v>
      </c>
      <c r="O407" s="12" t="str">
        <f>"KT001216"</f>
        <v>KT001216</v>
      </c>
      <c r="P407" s="13" t="str">
        <f>"Mediq Suisse AG"</f>
        <v>Mediq Suisse AG</v>
      </c>
    </row>
    <row r="408" spans="1:16" x14ac:dyDescent="0.15">
      <c r="A408" s="11" t="str">
        <f>"CIN-G-20MM"</f>
        <v>CIN-G-20MM</v>
      </c>
      <c r="B408" s="12" t="str">
        <f>"PlasmaDerm DBD KaltPlasma Gerät,  20 mm"</f>
        <v>PlasmaDerm DBD KaltPlasma Gerät,  20 mm</v>
      </c>
      <c r="C408" s="12" t="str">
        <f>"MDR Risikoklasse IIa"</f>
        <v>MDR Risikoklasse IIa</v>
      </c>
      <c r="D408" s="12" t="str">
        <f>"KO15465"</f>
        <v>KO15465</v>
      </c>
      <c r="E408" s="12" t="str">
        <f>"CINOGY System GmbH"</f>
        <v>CINOGY System GmbH</v>
      </c>
      <c r="F408" s="12" t="str">
        <f>"Charlottenburger Strasse 7"</f>
        <v>Charlottenburger Strasse 7</v>
      </c>
      <c r="G408" s="12" t="str">
        <f>"DE-37115"</f>
        <v>DE-37115</v>
      </c>
      <c r="H408" s="12" t="str">
        <f>"Duderstadt"</f>
        <v>Duderstadt</v>
      </c>
      <c r="I408" s="12" t="str">
        <f>"KT005670"</f>
        <v>KT005670</v>
      </c>
      <c r="J408" s="12" t="str">
        <f>"QS Engineering AG"</f>
        <v>QS Engineering AG</v>
      </c>
      <c r="K408" s="12" t="str">
        <f>"Erlenstrase 31"</f>
        <v>Erlenstrase 31</v>
      </c>
      <c r="L408" s="12" t="str">
        <f>"CH-4106"</f>
        <v>CH-4106</v>
      </c>
      <c r="M408" s="12" t="str">
        <f>"Therwil"</f>
        <v>Therwil</v>
      </c>
      <c r="N408" s="12" t="str">
        <f>"CHRN-AR-20000145"</f>
        <v>CHRN-AR-20000145</v>
      </c>
      <c r="O408" s="12" t="str">
        <f>"KT001216"</f>
        <v>KT001216</v>
      </c>
      <c r="P408" s="13" t="str">
        <f>"Mediq Suisse AG"</f>
        <v>Mediq Suisse AG</v>
      </c>
    </row>
    <row r="409" spans="1:16" x14ac:dyDescent="0.15">
      <c r="A409" s="11" t="str">
        <f>"DYOC100"</f>
        <v>DYOC100</v>
      </c>
      <c r="B409" s="12" t="str">
        <f>"Dymacare Absaug-Zahnbürste"</f>
        <v>Dymacare Absaug-Zahnbürste</v>
      </c>
      <c r="C409" s="12" t="str">
        <f>"MDR Risikoklasse IIa"</f>
        <v>MDR Risikoklasse IIa</v>
      </c>
      <c r="D409" s="12" t="str">
        <f>"KT004122"</f>
        <v>KT004122</v>
      </c>
      <c r="E409" s="12" t="str">
        <f>"Pearmine Health Ltd"</f>
        <v>Pearmine Health Ltd</v>
      </c>
      <c r="F409" s="12" t="str">
        <f>"Unit 5, The Sidings,"</f>
        <v>Unit 5, The Sidings,</v>
      </c>
      <c r="G409" s="12" t="str">
        <f>"GB-NN13 7UG"</f>
        <v>GB-NN13 7UG</v>
      </c>
      <c r="H409" s="12" t="str">
        <f>"Brackley"</f>
        <v>Brackley</v>
      </c>
      <c r="I409" s="12" t="str">
        <f>"KT005665"</f>
        <v>KT005665</v>
      </c>
      <c r="J409" s="12" t="str">
        <f>"MedEnvoy Switzerland"</f>
        <v>MedEnvoy Switzerland</v>
      </c>
      <c r="K409" s="12" t="str">
        <f>"Gotthardstrasse 28"</f>
        <v>Gotthardstrasse 28</v>
      </c>
      <c r="L409" s="12" t="str">
        <f>"CH-6302"</f>
        <v>CH-6302</v>
      </c>
      <c r="M409" s="12" t="str">
        <f>"Zug"</f>
        <v>Zug</v>
      </c>
      <c r="N409" s="12" t="str">
        <f>"CHRN-AR-20000310"</f>
        <v>CHRN-AR-20000310</v>
      </c>
      <c r="O409" s="12" t="str">
        <f>"KT001216"</f>
        <v>KT001216</v>
      </c>
      <c r="P409" s="13" t="str">
        <f>"Mediq Suisse AG"</f>
        <v>Mediq Suisse AG</v>
      </c>
    </row>
    <row r="410" spans="1:16" x14ac:dyDescent="0.15">
      <c r="A410" s="11" t="str">
        <f>"DYOC101"</f>
        <v>DYOC101</v>
      </c>
      <c r="B410" s="12" t="str">
        <f>"Dymacare Absaug-Mundtupfer"</f>
        <v>Dymacare Absaug-Mundtupfer</v>
      </c>
      <c r="C410" s="12" t="str">
        <f>"MDR Risikoklasse IIa"</f>
        <v>MDR Risikoklasse IIa</v>
      </c>
      <c r="D410" s="12" t="str">
        <f>"KT004122"</f>
        <v>KT004122</v>
      </c>
      <c r="E410" s="12" t="str">
        <f>"Pearmine Health Ltd"</f>
        <v>Pearmine Health Ltd</v>
      </c>
      <c r="F410" s="12" t="str">
        <f>"Unit 5, The Sidings,"</f>
        <v>Unit 5, The Sidings,</v>
      </c>
      <c r="G410" s="12" t="str">
        <f>"GB-NN13 7UG"</f>
        <v>GB-NN13 7UG</v>
      </c>
      <c r="H410" s="12" t="str">
        <f>"Brackley"</f>
        <v>Brackley</v>
      </c>
      <c r="I410" s="12" t="str">
        <f>"KT005665"</f>
        <v>KT005665</v>
      </c>
      <c r="J410" s="12" t="str">
        <f>"MedEnvoy Switzerland"</f>
        <v>MedEnvoy Switzerland</v>
      </c>
      <c r="K410" s="12" t="str">
        <f>"Gotthardstrasse 28"</f>
        <v>Gotthardstrasse 28</v>
      </c>
      <c r="L410" s="12" t="str">
        <f>"CH-6302"</f>
        <v>CH-6302</v>
      </c>
      <c r="M410" s="12" t="str">
        <f>"Zug"</f>
        <v>Zug</v>
      </c>
      <c r="N410" s="12" t="str">
        <f>"CHRN-AR-20000310"</f>
        <v>CHRN-AR-20000310</v>
      </c>
      <c r="O410" s="12" t="str">
        <f>"KT001216"</f>
        <v>KT001216</v>
      </c>
      <c r="P410" s="13" t="str">
        <f>"Mediq Suisse AG"</f>
        <v>Mediq Suisse AG</v>
      </c>
    </row>
    <row r="411" spans="1:16" x14ac:dyDescent="0.15">
      <c r="A411" s="11" t="str">
        <f>"DYOC102"</f>
        <v>DYOC102</v>
      </c>
      <c r="B411" s="12" t="str">
        <f>"Dymacare Mundtupfer"</f>
        <v>Dymacare Mundtupfer</v>
      </c>
      <c r="C411" s="12" t="str">
        <f>"MDR Risikoklasse I"</f>
        <v>MDR Risikoklasse I</v>
      </c>
      <c r="D411" s="12" t="str">
        <f>"KT004122"</f>
        <v>KT004122</v>
      </c>
      <c r="E411" s="12" t="str">
        <f>"Pearmine Health Ltd"</f>
        <v>Pearmine Health Ltd</v>
      </c>
      <c r="F411" s="12" t="str">
        <f>"Unit 5, The Sidings,"</f>
        <v>Unit 5, The Sidings,</v>
      </c>
      <c r="G411" s="12" t="str">
        <f>"GB-NN13 7UG"</f>
        <v>GB-NN13 7UG</v>
      </c>
      <c r="H411" s="12" t="str">
        <f>"Brackley"</f>
        <v>Brackley</v>
      </c>
      <c r="I411" s="12" t="str">
        <f>"KT005665"</f>
        <v>KT005665</v>
      </c>
      <c r="J411" s="12" t="str">
        <f>"MedEnvoy Switzerland"</f>
        <v>MedEnvoy Switzerland</v>
      </c>
      <c r="K411" s="12" t="str">
        <f>"Gotthardstrasse 28"</f>
        <v>Gotthardstrasse 28</v>
      </c>
      <c r="L411" s="12" t="str">
        <f>"CH-6302"</f>
        <v>CH-6302</v>
      </c>
      <c r="M411" s="12" t="str">
        <f>"Zug"</f>
        <v>Zug</v>
      </c>
      <c r="N411" s="12" t="str">
        <f>"CHRN-AR-20000310"</f>
        <v>CHRN-AR-20000310</v>
      </c>
      <c r="O411" s="12" t="str">
        <f>"KT001216"</f>
        <v>KT001216</v>
      </c>
      <c r="P411" s="13" t="str">
        <f>"Mediq Suisse AG"</f>
        <v>Mediq Suisse AG</v>
      </c>
    </row>
    <row r="412" spans="1:16" x14ac:dyDescent="0.15">
      <c r="A412" s="11" t="str">
        <f>"DYOC103"</f>
        <v>DYOC103</v>
      </c>
      <c r="B412" s="12" t="str">
        <f>"Dymacare Absaug-Mundtupfer|m.Bikarbonat"</f>
        <v>Dymacare Absaug-Mundtupfer|m.Bikarbonat</v>
      </c>
      <c r="C412" s="12" t="str">
        <f>"MDR Risikoklasse IIa"</f>
        <v>MDR Risikoklasse IIa</v>
      </c>
      <c r="D412" s="12" t="str">
        <f>"KT004122"</f>
        <v>KT004122</v>
      </c>
      <c r="E412" s="12" t="str">
        <f>"Pearmine Health Ltd"</f>
        <v>Pearmine Health Ltd</v>
      </c>
      <c r="F412" s="12" t="str">
        <f>"Unit 5, The Sidings,"</f>
        <v>Unit 5, The Sidings,</v>
      </c>
      <c r="G412" s="12" t="str">
        <f>"GB-NN13 7UG"</f>
        <v>GB-NN13 7UG</v>
      </c>
      <c r="H412" s="12" t="str">
        <f>"Brackley"</f>
        <v>Brackley</v>
      </c>
      <c r="I412" s="12" t="str">
        <f>"KT005665"</f>
        <v>KT005665</v>
      </c>
      <c r="J412" s="12" t="str">
        <f>"MedEnvoy Switzerland"</f>
        <v>MedEnvoy Switzerland</v>
      </c>
      <c r="K412" s="12" t="str">
        <f>"Gotthardstrasse 28"</f>
        <v>Gotthardstrasse 28</v>
      </c>
      <c r="L412" s="12" t="str">
        <f>"CH-6302"</f>
        <v>CH-6302</v>
      </c>
      <c r="M412" s="12" t="str">
        <f>"Zug"</f>
        <v>Zug</v>
      </c>
      <c r="N412" s="12" t="str">
        <f>"CHRN-AR-20000310"</f>
        <v>CHRN-AR-20000310</v>
      </c>
      <c r="O412" s="12" t="str">
        <f>"KT001216"</f>
        <v>KT001216</v>
      </c>
      <c r="P412" s="13" t="str">
        <f>"Mediq Suisse AG"</f>
        <v>Mediq Suisse AG</v>
      </c>
    </row>
    <row r="413" spans="1:16" x14ac:dyDescent="0.15">
      <c r="A413" s="11" t="str">
        <f>"DYOC104"</f>
        <v>DYOC104</v>
      </c>
      <c r="B413" s="12" t="str">
        <f>"Dymacare Mundtupfer|m. Bikarbonat"</f>
        <v>Dymacare Mundtupfer|m. Bikarbonat</v>
      </c>
      <c r="C413" s="12" t="str">
        <f>"MDR Risikoklasse I"</f>
        <v>MDR Risikoklasse I</v>
      </c>
      <c r="D413" s="12" t="str">
        <f>"KT004122"</f>
        <v>KT004122</v>
      </c>
      <c r="E413" s="12" t="str">
        <f>"Pearmine Health Ltd"</f>
        <v>Pearmine Health Ltd</v>
      </c>
      <c r="F413" s="12" t="str">
        <f>"Unit 5, The Sidings,"</f>
        <v>Unit 5, The Sidings,</v>
      </c>
      <c r="G413" s="12" t="str">
        <f>"GB-NN13 7UG"</f>
        <v>GB-NN13 7UG</v>
      </c>
      <c r="H413" s="12" t="str">
        <f>"Brackley"</f>
        <v>Brackley</v>
      </c>
      <c r="I413" s="12" t="str">
        <f>"KT005665"</f>
        <v>KT005665</v>
      </c>
      <c r="J413" s="12" t="str">
        <f>"MedEnvoy Switzerland"</f>
        <v>MedEnvoy Switzerland</v>
      </c>
      <c r="K413" s="12" t="str">
        <f>"Gotthardstrasse 28"</f>
        <v>Gotthardstrasse 28</v>
      </c>
      <c r="L413" s="12" t="str">
        <f>"CH-6302"</f>
        <v>CH-6302</v>
      </c>
      <c r="M413" s="12" t="str">
        <f>"Zug"</f>
        <v>Zug</v>
      </c>
      <c r="N413" s="12" t="str">
        <f>"CHRN-AR-20000310"</f>
        <v>CHRN-AR-20000310</v>
      </c>
      <c r="O413" s="12" t="str">
        <f>"KT001216"</f>
        <v>KT001216</v>
      </c>
      <c r="P413" s="13" t="str">
        <f>"Mediq Suisse AG"</f>
        <v>Mediq Suisse AG</v>
      </c>
    </row>
    <row r="414" spans="1:16" x14ac:dyDescent="0.15">
      <c r="A414" s="11" t="str">
        <f>"DYOC201"</f>
        <v>DYOC201</v>
      </c>
      <c r="B414" s="12" t="str">
        <f>"Dymacare Absaug-Zahnbürsten System"</f>
        <v>Dymacare Absaug-Zahnbürsten System</v>
      </c>
      <c r="C414" s="12" t="str">
        <f>"MDR Risikoklasse IIa"</f>
        <v>MDR Risikoklasse IIa</v>
      </c>
      <c r="D414" s="12" t="str">
        <f>"KT004122"</f>
        <v>KT004122</v>
      </c>
      <c r="E414" s="12" t="str">
        <f>"Pearmine Health Ltd"</f>
        <v>Pearmine Health Ltd</v>
      </c>
      <c r="F414" s="12" t="str">
        <f>"Unit 5, The Sidings,"</f>
        <v>Unit 5, The Sidings,</v>
      </c>
      <c r="G414" s="12" t="str">
        <f>"GB-NN13 7UG"</f>
        <v>GB-NN13 7UG</v>
      </c>
      <c r="H414" s="12" t="str">
        <f>"Brackley"</f>
        <v>Brackley</v>
      </c>
      <c r="I414" s="12" t="str">
        <f>"KT005665"</f>
        <v>KT005665</v>
      </c>
      <c r="J414" s="12" t="str">
        <f>"MedEnvoy Switzerland"</f>
        <v>MedEnvoy Switzerland</v>
      </c>
      <c r="K414" s="12" t="str">
        <f>"Gotthardstrasse 28"</f>
        <v>Gotthardstrasse 28</v>
      </c>
      <c r="L414" s="12" t="str">
        <f>"CH-6302"</f>
        <v>CH-6302</v>
      </c>
      <c r="M414" s="12" t="str">
        <f>"Zug"</f>
        <v>Zug</v>
      </c>
      <c r="N414" s="12" t="str">
        <f>"CHRN-AR-20000310"</f>
        <v>CHRN-AR-20000310</v>
      </c>
      <c r="O414" s="12" t="str">
        <f>"KT001216"</f>
        <v>KT001216</v>
      </c>
      <c r="P414" s="13" t="str">
        <f>"Mediq Suisse AG"</f>
        <v>Mediq Suisse AG</v>
      </c>
    </row>
    <row r="415" spans="1:16" x14ac:dyDescent="0.15">
      <c r="A415" s="11" t="str">
        <f>"DYOC202"</f>
        <v>DYOC202</v>
      </c>
      <c r="B415" s="12" t="str">
        <f>"Dymacare Mundtupfer System|m. Bikarbonat"</f>
        <v>Dymacare Mundtupfer System|m. Bikarbonat</v>
      </c>
      <c r="C415" s="12" t="str">
        <f>"MDR Risikoklasse I"</f>
        <v>MDR Risikoklasse I</v>
      </c>
      <c r="D415" s="12" t="str">
        <f>"KT004122"</f>
        <v>KT004122</v>
      </c>
      <c r="E415" s="12" t="str">
        <f>"Pearmine Health Ltd"</f>
        <v>Pearmine Health Ltd</v>
      </c>
      <c r="F415" s="12" t="str">
        <f>"Unit 5, The Sidings,"</f>
        <v>Unit 5, The Sidings,</v>
      </c>
      <c r="G415" s="12" t="str">
        <f>"GB-NN13 7UG"</f>
        <v>GB-NN13 7UG</v>
      </c>
      <c r="H415" s="12" t="str">
        <f>"Brackley"</f>
        <v>Brackley</v>
      </c>
      <c r="I415" s="12" t="str">
        <f>"KT005665"</f>
        <v>KT005665</v>
      </c>
      <c r="J415" s="12" t="str">
        <f>"MedEnvoy Switzerland"</f>
        <v>MedEnvoy Switzerland</v>
      </c>
      <c r="K415" s="12" t="str">
        <f>"Gotthardstrasse 28"</f>
        <v>Gotthardstrasse 28</v>
      </c>
      <c r="L415" s="12" t="str">
        <f>"CH-6302"</f>
        <v>CH-6302</v>
      </c>
      <c r="M415" s="12" t="str">
        <f>"Zug"</f>
        <v>Zug</v>
      </c>
      <c r="N415" s="12" t="str">
        <f>"CHRN-AR-20000310"</f>
        <v>CHRN-AR-20000310</v>
      </c>
      <c r="O415" s="12" t="str">
        <f>"KT001216"</f>
        <v>KT001216</v>
      </c>
      <c r="P415" s="13" t="str">
        <f>"Mediq Suisse AG"</f>
        <v>Mediq Suisse AG</v>
      </c>
    </row>
    <row r="416" spans="1:16" x14ac:dyDescent="0.15">
      <c r="A416" s="11" t="str">
        <f>"DYOC204"</f>
        <v>DYOC204</v>
      </c>
      <c r="B416" s="12" t="str">
        <f>"Dymacare Absaug-Mundtupfer System|m. Bikarbonat"</f>
        <v>Dymacare Absaug-Mundtupfer System|m. Bikarbonat</v>
      </c>
      <c r="C416" s="12" t="str">
        <f>"MDR Risikoklasse IIa"</f>
        <v>MDR Risikoklasse IIa</v>
      </c>
      <c r="D416" s="12" t="str">
        <f>"KT004122"</f>
        <v>KT004122</v>
      </c>
      <c r="E416" s="12" t="str">
        <f>"Pearmine Health Ltd"</f>
        <v>Pearmine Health Ltd</v>
      </c>
      <c r="F416" s="12" t="str">
        <f>"Unit 5, The Sidings,"</f>
        <v>Unit 5, The Sidings,</v>
      </c>
      <c r="G416" s="12" t="str">
        <f>"GB-NN13 7UG"</f>
        <v>GB-NN13 7UG</v>
      </c>
      <c r="H416" s="12" t="str">
        <f>"Brackley"</f>
        <v>Brackley</v>
      </c>
      <c r="I416" s="12" t="str">
        <f>"KT005665"</f>
        <v>KT005665</v>
      </c>
      <c r="J416" s="12" t="str">
        <f>"MedEnvoy Switzerland"</f>
        <v>MedEnvoy Switzerland</v>
      </c>
      <c r="K416" s="12" t="str">
        <f>"Gotthardstrasse 28"</f>
        <v>Gotthardstrasse 28</v>
      </c>
      <c r="L416" s="12" t="str">
        <f>"CH-6302"</f>
        <v>CH-6302</v>
      </c>
      <c r="M416" s="12" t="str">
        <f>"Zug"</f>
        <v>Zug</v>
      </c>
      <c r="N416" s="12" t="str">
        <f>"CHRN-AR-20000310"</f>
        <v>CHRN-AR-20000310</v>
      </c>
      <c r="O416" s="12" t="str">
        <f>"KT001216"</f>
        <v>KT001216</v>
      </c>
      <c r="P416" s="13" t="str">
        <f>"Mediq Suisse AG"</f>
        <v>Mediq Suisse AG</v>
      </c>
    </row>
    <row r="417" spans="1:16" x14ac:dyDescent="0.15">
      <c r="A417" s="11" t="str">
        <f>"DYOC206"</f>
        <v>DYOC206</v>
      </c>
      <c r="B417" s="12" t="str">
        <f>"Dymacare Absaug-Zahnbürsten u. Mundtupfer System"</f>
        <v>Dymacare Absaug-Zahnbürsten u. Mundtupfer System</v>
      </c>
      <c r="C417" s="12" t="str">
        <f>"MDR Risikoklasse IIa"</f>
        <v>MDR Risikoklasse IIa</v>
      </c>
      <c r="D417" s="12" t="str">
        <f>"KT004122"</f>
        <v>KT004122</v>
      </c>
      <c r="E417" s="12" t="str">
        <f>"Pearmine Health Ltd"</f>
        <v>Pearmine Health Ltd</v>
      </c>
      <c r="F417" s="12" t="str">
        <f>"Unit 5, The Sidings,"</f>
        <v>Unit 5, The Sidings,</v>
      </c>
      <c r="G417" s="12" t="str">
        <f>"GB-NN13 7UG"</f>
        <v>GB-NN13 7UG</v>
      </c>
      <c r="H417" s="12" t="str">
        <f>"Brackley"</f>
        <v>Brackley</v>
      </c>
      <c r="I417" s="12" t="str">
        <f>"KT005665"</f>
        <v>KT005665</v>
      </c>
      <c r="J417" s="12" t="str">
        <f>"MedEnvoy Switzerland"</f>
        <v>MedEnvoy Switzerland</v>
      </c>
      <c r="K417" s="12" t="str">
        <f>"Gotthardstrasse 28"</f>
        <v>Gotthardstrasse 28</v>
      </c>
      <c r="L417" s="12" t="str">
        <f>"CH-6302"</f>
        <v>CH-6302</v>
      </c>
      <c r="M417" s="12" t="str">
        <f>"Zug"</f>
        <v>Zug</v>
      </c>
      <c r="N417" s="12" t="str">
        <f>"CHRN-AR-20000310"</f>
        <v>CHRN-AR-20000310</v>
      </c>
      <c r="O417" s="12" t="str">
        <f>"KT001216"</f>
        <v>KT001216</v>
      </c>
      <c r="P417" s="13" t="str">
        <f>"Mediq Suisse AG"</f>
        <v>Mediq Suisse AG</v>
      </c>
    </row>
    <row r="418" spans="1:16" x14ac:dyDescent="0.15">
      <c r="A418" s="11" t="str">
        <f>"DYOC208"</f>
        <v>DYOC208</v>
      </c>
      <c r="B418" s="12" t="str">
        <f>"Dymacare Absaug-Mundtupfer System|m. Bikarbonat"</f>
        <v>Dymacare Absaug-Mundtupfer System|m. Bikarbonat</v>
      </c>
      <c r="C418" s="12" t="str">
        <f>"MDR Risikoklasse IIa"</f>
        <v>MDR Risikoklasse IIa</v>
      </c>
      <c r="D418" s="12" t="str">
        <f>"KT004122"</f>
        <v>KT004122</v>
      </c>
      <c r="E418" s="12" t="str">
        <f>"Pearmine Health Ltd"</f>
        <v>Pearmine Health Ltd</v>
      </c>
      <c r="F418" s="12" t="str">
        <f>"Unit 5, The Sidings,"</f>
        <v>Unit 5, The Sidings,</v>
      </c>
      <c r="G418" s="12" t="str">
        <f>"GB-NN13 7UG"</f>
        <v>GB-NN13 7UG</v>
      </c>
      <c r="H418" s="12" t="str">
        <f>"Brackley"</f>
        <v>Brackley</v>
      </c>
      <c r="I418" s="12" t="str">
        <f>"KT005665"</f>
        <v>KT005665</v>
      </c>
      <c r="J418" s="12" t="str">
        <f>"MedEnvoy Switzerland"</f>
        <v>MedEnvoy Switzerland</v>
      </c>
      <c r="K418" s="12" t="str">
        <f>"Gotthardstrasse 28"</f>
        <v>Gotthardstrasse 28</v>
      </c>
      <c r="L418" s="12" t="str">
        <f>"CH-6302"</f>
        <v>CH-6302</v>
      </c>
      <c r="M418" s="12" t="str">
        <f>"Zug"</f>
        <v>Zug</v>
      </c>
      <c r="N418" s="12" t="str">
        <f>"CHRN-AR-20000310"</f>
        <v>CHRN-AR-20000310</v>
      </c>
      <c r="O418" s="12" t="str">
        <f>"KT001216"</f>
        <v>KT001216</v>
      </c>
      <c r="P418" s="13" t="str">
        <f>"Mediq Suisse AG"</f>
        <v>Mediq Suisse AG</v>
      </c>
    </row>
    <row r="419" spans="1:16" x14ac:dyDescent="0.15">
      <c r="A419" s="11" t="str">
        <f>"DYOC259"</f>
        <v>DYOC259</v>
      </c>
      <c r="B419" s="12" t="str">
        <f>"Dymacare unbehandeltes Absaugmundtupfer System|mit CHX"</f>
        <v>Dymacare unbehandeltes Absaugmundtupfer System|mit CHX</v>
      </c>
      <c r="C419" s="12" t="str">
        <f>"MDR Risikoklasse IIa"</f>
        <v>MDR Risikoklasse IIa</v>
      </c>
      <c r="D419" s="12" t="str">
        <f>"KT004122"</f>
        <v>KT004122</v>
      </c>
      <c r="E419" s="12" t="str">
        <f>"Pearmine Health Ltd"</f>
        <v>Pearmine Health Ltd</v>
      </c>
      <c r="F419" s="12" t="str">
        <f>"Unit 5, The Sidings,"</f>
        <v>Unit 5, The Sidings,</v>
      </c>
      <c r="G419" s="12" t="str">
        <f>"GB-NN13 7UG"</f>
        <v>GB-NN13 7UG</v>
      </c>
      <c r="H419" s="12" t="str">
        <f>"Brackley"</f>
        <v>Brackley</v>
      </c>
      <c r="I419" s="12" t="str">
        <f>"KT005665"</f>
        <v>KT005665</v>
      </c>
      <c r="J419" s="12" t="str">
        <f>"MedEnvoy Switzerland"</f>
        <v>MedEnvoy Switzerland</v>
      </c>
      <c r="K419" s="12" t="str">
        <f>"Gotthardstrasse 28"</f>
        <v>Gotthardstrasse 28</v>
      </c>
      <c r="L419" s="12" t="str">
        <f>"CH-6302"</f>
        <v>CH-6302</v>
      </c>
      <c r="M419" s="12" t="str">
        <f>"Zug"</f>
        <v>Zug</v>
      </c>
      <c r="N419" s="12" t="str">
        <f>"CHRN-AR-20000310"</f>
        <v>CHRN-AR-20000310</v>
      </c>
      <c r="O419" s="12" t="str">
        <f>"KT001216"</f>
        <v>KT001216</v>
      </c>
      <c r="P419" s="13" t="str">
        <f>"Mediq Suisse AG"</f>
        <v>Mediq Suisse AG</v>
      </c>
    </row>
    <row r="420" spans="1:16" x14ac:dyDescent="0.15">
      <c r="A420" s="11" t="str">
        <f>"EST-EAASL"</f>
        <v>EST-EAASL</v>
      </c>
      <c r="B420" s="12" t="str">
        <f>"SMARTLINE Luminometer für EAA Proben"</f>
        <v>SMARTLINE Luminometer für EAA Proben</v>
      </c>
      <c r="C420" s="12" t="str">
        <f>"IVDR Risikoklasse A"</f>
        <v>IVDR Risikoklasse A</v>
      </c>
      <c r="D420" s="12" t="str">
        <f>"KT005669"</f>
        <v>KT005669</v>
      </c>
      <c r="E420" s="12" t="str">
        <f>"Berthold Detection Systems GmbH"</f>
        <v>Berthold Detection Systems GmbH</v>
      </c>
      <c r="F420" s="12" t="str">
        <f>"Bleichstrasse 56-68"</f>
        <v>Bleichstrasse 56-68</v>
      </c>
      <c r="G420" s="12" t="str">
        <f>"DE-75173"</f>
        <v>DE-75173</v>
      </c>
      <c r="H420" s="12" t="str">
        <f>"Pforzheim"</f>
        <v>Pforzheim</v>
      </c>
      <c r="I420" s="12" t="str">
        <f>"KT005670"</f>
        <v>KT005670</v>
      </c>
      <c r="J420" s="12" t="str">
        <f>"QS Engineering AG"</f>
        <v>QS Engineering AG</v>
      </c>
      <c r="K420" s="12" t="str">
        <f>"Erlenstrase 31"</f>
        <v>Erlenstrase 31</v>
      </c>
      <c r="L420" s="12" t="str">
        <f>"CH-4106"</f>
        <v>CH-4106</v>
      </c>
      <c r="M420" s="12" t="str">
        <f>"Therwil"</f>
        <v>Therwil</v>
      </c>
      <c r="N420" s="12" t="str">
        <f>"CHRN-AR-20000145"</f>
        <v>CHRN-AR-20000145</v>
      </c>
      <c r="O420" s="12" t="str">
        <f>"KT001216"</f>
        <v>KT001216</v>
      </c>
      <c r="P420" s="13" t="str">
        <f>"Mediq Suisse AG"</f>
        <v>Mediq Suisse AG</v>
      </c>
    </row>
    <row r="421" spans="1:16" x14ac:dyDescent="0.15">
      <c r="A421" s="11" t="str">
        <f>"EST-EAAST-20"</f>
        <v>EST-EAAST-20</v>
      </c>
      <c r="B421" s="12" t="str">
        <f>"EAA Schachtel zu 20 Test"</f>
        <v>EAA Schachtel zu 20 Test</v>
      </c>
      <c r="C421" s="12" t="str">
        <f>"IVDR Risikoklasse A"</f>
        <v>IVDR Risikoklasse A</v>
      </c>
      <c r="D421" s="12" t="str">
        <f>"KO14199"</f>
        <v>KO14199</v>
      </c>
      <c r="E421" s="12" t="str">
        <f>"Spectral Medical Inc."</f>
        <v>Spectral Medical Inc.</v>
      </c>
      <c r="F421" s="12" t="str">
        <f>"135 The West Mall, Unit 2"</f>
        <v>135 The West Mall, Unit 2</v>
      </c>
      <c r="G421" s="12" t="str">
        <f>"CA-M9C 1C2"</f>
        <v>CA-M9C 1C2</v>
      </c>
      <c r="H421" s="12" t="str">
        <f>"Toronto"</f>
        <v>Toronto</v>
      </c>
      <c r="I421" s="12" t="str">
        <f>"KT005670"</f>
        <v>KT005670</v>
      </c>
      <c r="J421" s="12" t="str">
        <f>"QS Engineering AG"</f>
        <v>QS Engineering AG</v>
      </c>
      <c r="K421" s="12" t="str">
        <f>"Erlenstrase 31"</f>
        <v>Erlenstrase 31</v>
      </c>
      <c r="L421" s="12" t="str">
        <f>"CH-4106"</f>
        <v>CH-4106</v>
      </c>
      <c r="M421" s="12" t="str">
        <f>"Therwil"</f>
        <v>Therwil</v>
      </c>
      <c r="N421" s="12" t="str">
        <f>"CHRN-AR-20000145"</f>
        <v>CHRN-AR-20000145</v>
      </c>
      <c r="O421" s="12" t="str">
        <f>"KT001216"</f>
        <v>KT001216</v>
      </c>
      <c r="P421" s="13" t="str">
        <f>"Mediq Suisse AG"</f>
        <v>Mediq Suisse AG</v>
      </c>
    </row>
    <row r="422" spans="1:16" x14ac:dyDescent="0.15">
      <c r="A422" s="11" t="str">
        <f>"EST-INTENSA"</f>
        <v>EST-INTENSA</v>
      </c>
      <c r="B422" s="12" t="str">
        <f>"Extracorporeal Organ Support (ECOS) system INTENSA®"</f>
        <v>Extracorporeal Organ Support (ECOS) system INTENSA®</v>
      </c>
      <c r="C422" s="12" t="str">
        <f>"MDR Risikoklasse IIb"</f>
        <v>MDR Risikoklasse IIb</v>
      </c>
      <c r="D422" s="12" t="str">
        <f>"KT005671"</f>
        <v>KT005671</v>
      </c>
      <c r="E422" s="12" t="str">
        <f>"Medica S.p.a."</f>
        <v>Medica S.p.a.</v>
      </c>
      <c r="F422" s="12" t="str">
        <f>"Via degli artigiani, 7"</f>
        <v>Via degli artigiani, 7</v>
      </c>
      <c r="G422" s="12" t="str">
        <f>"IT-41036"</f>
        <v>IT-41036</v>
      </c>
      <c r="H422" s="12" t="str">
        <f>"Medolla (MO)"</f>
        <v>Medolla (MO)</v>
      </c>
      <c r="I422" s="12" t="str">
        <f>"KT005670"</f>
        <v>KT005670</v>
      </c>
      <c r="J422" s="12" t="str">
        <f>"QS Engineering AG"</f>
        <v>QS Engineering AG</v>
      </c>
      <c r="K422" s="12" t="str">
        <f>"Erlenstrase 31"</f>
        <v>Erlenstrase 31</v>
      </c>
      <c r="L422" s="12" t="str">
        <f>"CH-4106"</f>
        <v>CH-4106</v>
      </c>
      <c r="M422" s="12" t="str">
        <f>"Therwil"</f>
        <v>Therwil</v>
      </c>
      <c r="N422" s="12" t="str">
        <f>"CHRN-AR-20000145"</f>
        <v>CHRN-AR-20000145</v>
      </c>
      <c r="O422" s="12" t="str">
        <f>"KT001216"</f>
        <v>KT001216</v>
      </c>
      <c r="P422" s="13" t="str">
        <f>"Mediq Suisse AG"</f>
        <v>Mediq Suisse AG</v>
      </c>
    </row>
    <row r="423" spans="1:16" x14ac:dyDescent="0.15">
      <c r="A423" s="11" t="str">
        <f>"EST-PFLOW2020"</f>
        <v>EST-PFLOW2020</v>
      </c>
      <c r="B423" s="12" t="str">
        <f>"EstorFlow Hämoperfusions-Pumpe 2020"</f>
        <v>EstorFlow Hämoperfusions-Pumpe 2020</v>
      </c>
      <c r="C423" s="12" t="str">
        <f>"MDR Risikoklasse IIb"</f>
        <v>MDR Risikoklasse IIb</v>
      </c>
      <c r="D423" s="12" t="str">
        <f>"KT005671"</f>
        <v>KT005671</v>
      </c>
      <c r="E423" s="12" t="str">
        <f>"Medica S.p.a."</f>
        <v>Medica S.p.a.</v>
      </c>
      <c r="F423" s="12" t="str">
        <f>"Via degli artigiani, 7"</f>
        <v>Via degli artigiani, 7</v>
      </c>
      <c r="G423" s="12" t="str">
        <f>"IT-41036"</f>
        <v>IT-41036</v>
      </c>
      <c r="H423" s="12" t="str">
        <f>"Medolla (MO)"</f>
        <v>Medolla (MO)</v>
      </c>
      <c r="I423" s="12" t="str">
        <f>"KT005670"</f>
        <v>KT005670</v>
      </c>
      <c r="J423" s="12" t="str">
        <f>"QS Engineering AG"</f>
        <v>QS Engineering AG</v>
      </c>
      <c r="K423" s="12" t="str">
        <f>"Erlenstrase 31"</f>
        <v>Erlenstrase 31</v>
      </c>
      <c r="L423" s="12" t="str">
        <f>"CH-4106"</f>
        <v>CH-4106</v>
      </c>
      <c r="M423" s="12" t="str">
        <f>"Therwil"</f>
        <v>Therwil</v>
      </c>
      <c r="N423" s="12" t="str">
        <f>"CHRN-AR-20000145"</f>
        <v>CHRN-AR-20000145</v>
      </c>
      <c r="O423" s="12" t="str">
        <f>"KT001216"</f>
        <v>KT001216</v>
      </c>
      <c r="P423" s="13" t="str">
        <f>"Mediq Suisse AG"</f>
        <v>Mediq Suisse AG</v>
      </c>
    </row>
    <row r="424" spans="1:16" x14ac:dyDescent="0.15">
      <c r="A424" s="11" t="str">
        <f>"EST-PL2LAV3M"</f>
        <v>EST-PL2LAV3M</v>
      </c>
      <c r="B424" s="12" t="str">
        <f>"A/V blood line for ProLUNG3D for Estorflow 2020"</f>
        <v>A/V blood line for ProLUNG3D for Estorflow 2020</v>
      </c>
      <c r="C424" s="12" t="str">
        <f>"MDR Risikoklasse IIa"</f>
        <v>MDR Risikoklasse IIa</v>
      </c>
      <c r="D424" s="12" t="str">
        <f>"KT005673"</f>
        <v>KT005673</v>
      </c>
      <c r="E424" s="12" t="str">
        <f>"F.M. S.P.A."</f>
        <v>F.M. S.P.A.</v>
      </c>
      <c r="F424" s="12" t="str">
        <f>"Via Farini 65"</f>
        <v>Via Farini 65</v>
      </c>
      <c r="G424" s="12" t="str">
        <f>"IT-13043"</f>
        <v>IT-13043</v>
      </c>
      <c r="H424" s="12" t="str">
        <f>"Cigliano (VC)"</f>
        <v>Cigliano (VC)</v>
      </c>
      <c r="I424" s="12" t="str">
        <f>"KT005670"</f>
        <v>KT005670</v>
      </c>
      <c r="J424" s="12" t="str">
        <f>"QS Engineering AG"</f>
        <v>QS Engineering AG</v>
      </c>
      <c r="K424" s="12" t="str">
        <f>"Erlenstrase 31"</f>
        <v>Erlenstrase 31</v>
      </c>
      <c r="L424" s="12" t="str">
        <f>"CH-4106"</f>
        <v>CH-4106</v>
      </c>
      <c r="M424" s="12" t="str">
        <f>"Therwil"</f>
        <v>Therwil</v>
      </c>
      <c r="N424" s="12" t="str">
        <f>"CHRN-AR-20000145"</f>
        <v>CHRN-AR-20000145</v>
      </c>
      <c r="O424" s="12" t="str">
        <f>"KT001216"</f>
        <v>KT001216</v>
      </c>
      <c r="P424" s="13" t="str">
        <f>"Mediq Suisse AG"</f>
        <v>Mediq Suisse AG</v>
      </c>
    </row>
    <row r="425" spans="1:16" x14ac:dyDescent="0.15">
      <c r="A425" s="11" t="str">
        <f>"EST-PL2LUNG3"</f>
        <v>EST-PL2LUNG3</v>
      </c>
      <c r="B425" s="12" t="str">
        <f>"KIT ProLUNG3D for Estorflow 2020"</f>
        <v>KIT ProLUNG3D for Estorflow 2020</v>
      </c>
      <c r="C425" s="12" t="str">
        <f>"MDR Risikoklasse IIb"</f>
        <v>MDR Risikoklasse IIb</v>
      </c>
      <c r="D425" s="12" t="str">
        <f>"KT005672"</f>
        <v>KT005672</v>
      </c>
      <c r="E425" s="12" t="str">
        <f>"Estor SpA"</f>
        <v>Estor SpA</v>
      </c>
      <c r="F425" s="12" t="str">
        <f>"Via Newton 12"</f>
        <v>Via Newton 12</v>
      </c>
      <c r="G425" s="12" t="str">
        <f>"IT-20016"</f>
        <v>IT-20016</v>
      </c>
      <c r="H425" s="12" t="str">
        <f>"Pero (MI)"</f>
        <v>Pero (MI)</v>
      </c>
      <c r="I425" s="12" t="str">
        <f>"KT005670"</f>
        <v>KT005670</v>
      </c>
      <c r="J425" s="12" t="str">
        <f>"QS Engineering AG"</f>
        <v>QS Engineering AG</v>
      </c>
      <c r="K425" s="12" t="str">
        <f>"Erlenstrase 31"</f>
        <v>Erlenstrase 31</v>
      </c>
      <c r="L425" s="12" t="str">
        <f>"CH-4106"</f>
        <v>CH-4106</v>
      </c>
      <c r="M425" s="12" t="str">
        <f>"Therwil"</f>
        <v>Therwil</v>
      </c>
      <c r="N425" s="12" t="str">
        <f>"CHRN-AR-20000145"</f>
        <v>CHRN-AR-20000145</v>
      </c>
      <c r="O425" s="12" t="str">
        <f>"KT001216"</f>
        <v>KT001216</v>
      </c>
      <c r="P425" s="13" t="str">
        <f>"Mediq Suisse AG"</f>
        <v>Mediq Suisse AG</v>
      </c>
    </row>
    <row r="426" spans="1:16" x14ac:dyDescent="0.15">
      <c r="A426" s="11" t="str">
        <f>"EST-PLFLOW"</f>
        <v>EST-PLFLOW</v>
      </c>
      <c r="B426" s="12" t="str">
        <f>"EstorFlow Hämoperfusions-Pumpe"</f>
        <v>EstorFlow Hämoperfusions-Pumpe</v>
      </c>
      <c r="C426" s="12" t="str">
        <f>"MDR Risikoklasse IIb"</f>
        <v>MDR Risikoklasse IIb</v>
      </c>
      <c r="D426" s="12" t="str">
        <f>"KT005671"</f>
        <v>KT005671</v>
      </c>
      <c r="E426" s="12" t="str">
        <f>"Medica S.p.a."</f>
        <v>Medica S.p.a.</v>
      </c>
      <c r="F426" s="12" t="str">
        <f>"Via degli artigiani, 7"</f>
        <v>Via degli artigiani, 7</v>
      </c>
      <c r="G426" s="12" t="str">
        <f>"IT-41036"</f>
        <v>IT-41036</v>
      </c>
      <c r="H426" s="12" t="str">
        <f>"Medolla (MO)"</f>
        <v>Medolla (MO)</v>
      </c>
      <c r="I426" s="12" t="str">
        <f>"KT005670"</f>
        <v>KT005670</v>
      </c>
      <c r="J426" s="12" t="str">
        <f>"QS Engineering AG"</f>
        <v>QS Engineering AG</v>
      </c>
      <c r="K426" s="12" t="str">
        <f>"Erlenstrase 31"</f>
        <v>Erlenstrase 31</v>
      </c>
      <c r="L426" s="12" t="str">
        <f>"CH-4106"</f>
        <v>CH-4106</v>
      </c>
      <c r="M426" s="12" t="str">
        <f>"Therwil"</f>
        <v>Therwil</v>
      </c>
      <c r="N426" s="12" t="str">
        <f>"CHRN-AR-20000145"</f>
        <v>CHRN-AR-20000145</v>
      </c>
      <c r="O426" s="12" t="str">
        <f>"KT001216"</f>
        <v>KT001216</v>
      </c>
      <c r="P426" s="13" t="str">
        <f>"Mediq Suisse AG"</f>
        <v>Mediq Suisse AG</v>
      </c>
    </row>
    <row r="427" spans="1:16" x14ac:dyDescent="0.15">
      <c r="A427" s="11" t="str">
        <f>"EST-PLLUNG KIT 3D"</f>
        <v>EST-PLLUNG KIT 3D</v>
      </c>
      <c r="B427" s="12" t="str">
        <f>"ProLUNG Kit 3 Plus"</f>
        <v>ProLUNG Kit 3 Plus</v>
      </c>
      <c r="C427" s="12" t="str">
        <f>"MDR Risikoklasse IIb"</f>
        <v>MDR Risikoklasse IIb</v>
      </c>
      <c r="D427" s="12" t="str">
        <f>"KT005672"</f>
        <v>KT005672</v>
      </c>
      <c r="E427" s="12" t="str">
        <f>"Estor SpA"</f>
        <v>Estor SpA</v>
      </c>
      <c r="F427" s="12" t="str">
        <f>"Via Newton 12"</f>
        <v>Via Newton 12</v>
      </c>
      <c r="G427" s="12" t="str">
        <f>"IT-20016"</f>
        <v>IT-20016</v>
      </c>
      <c r="H427" s="12" t="str">
        <f>"Pero (MI)"</f>
        <v>Pero (MI)</v>
      </c>
      <c r="I427" s="12" t="str">
        <f>"KT005670"</f>
        <v>KT005670</v>
      </c>
      <c r="J427" s="12" t="str">
        <f>"QS Engineering AG"</f>
        <v>QS Engineering AG</v>
      </c>
      <c r="K427" s="12" t="str">
        <f>"Erlenstrase 31"</f>
        <v>Erlenstrase 31</v>
      </c>
      <c r="L427" s="12" t="str">
        <f>"CH-4106"</f>
        <v>CH-4106</v>
      </c>
      <c r="M427" s="12" t="str">
        <f>"Therwil"</f>
        <v>Therwil</v>
      </c>
      <c r="N427" s="12" t="str">
        <f>"CHRN-AR-20000145"</f>
        <v>CHRN-AR-20000145</v>
      </c>
      <c r="O427" s="12" t="str">
        <f>"KT001216"</f>
        <v>KT001216</v>
      </c>
      <c r="P427" s="13" t="str">
        <f>"Mediq Suisse AG"</f>
        <v>Mediq Suisse AG</v>
      </c>
    </row>
    <row r="428" spans="1:16" x14ac:dyDescent="0.15">
      <c r="A428" s="11" t="str">
        <f>"EST-PLMETER"</f>
        <v>EST-PLMETER</v>
      </c>
      <c r="B428" s="12" t="str">
        <f>"ProLung Meter, Air warming modul"</f>
        <v>ProLung Meter, Air warming modul</v>
      </c>
      <c r="C428" s="12" t="str">
        <f>"MDR Risikoklasse IIb"</f>
        <v>MDR Risikoklasse IIb</v>
      </c>
      <c r="D428" s="12" t="str">
        <f>"KT005672"</f>
        <v>KT005672</v>
      </c>
      <c r="E428" s="12" t="str">
        <f>"Estor SpA"</f>
        <v>Estor SpA</v>
      </c>
      <c r="F428" s="12" t="str">
        <f>"Via Newton 12"</f>
        <v>Via Newton 12</v>
      </c>
      <c r="G428" s="12" t="str">
        <f>"IT-20016"</f>
        <v>IT-20016</v>
      </c>
      <c r="H428" s="12" t="str">
        <f>"Pero (MI)"</f>
        <v>Pero (MI)</v>
      </c>
      <c r="I428" s="12" t="str">
        <f>"KT005670"</f>
        <v>KT005670</v>
      </c>
      <c r="J428" s="12" t="str">
        <f>"QS Engineering AG"</f>
        <v>QS Engineering AG</v>
      </c>
      <c r="K428" s="12" t="str">
        <f>"Erlenstrase 31"</f>
        <v>Erlenstrase 31</v>
      </c>
      <c r="L428" s="12" t="str">
        <f>"CH-4106"</f>
        <v>CH-4106</v>
      </c>
      <c r="M428" s="12" t="str">
        <f>"Therwil"</f>
        <v>Therwil</v>
      </c>
      <c r="N428" s="12" t="str">
        <f>"CHRN-AR-20000145"</f>
        <v>CHRN-AR-20000145</v>
      </c>
      <c r="O428" s="12" t="str">
        <f>"KT001216"</f>
        <v>KT001216</v>
      </c>
      <c r="P428" s="13" t="str">
        <f>"Mediq Suisse AG"</f>
        <v>Mediq Suisse AG</v>
      </c>
    </row>
    <row r="429" spans="1:16" x14ac:dyDescent="0.15">
      <c r="A429" s="11" t="str">
        <f>"EST-PMX-20R-W"</f>
        <v>EST-PMX-20R-W</v>
      </c>
      <c r="B429" s="12" t="str">
        <f>"TORAYMYXIN cartridge"</f>
        <v>TORAYMYXIN cartridge</v>
      </c>
      <c r="C429" s="12" t="str">
        <f>"MDR Risikoklasse IIb"</f>
        <v>MDR Risikoklasse IIb</v>
      </c>
      <c r="D429" s="12" t="str">
        <f>"KO13275"</f>
        <v>KO13275</v>
      </c>
      <c r="E429" s="12" t="str">
        <f>"Toray Industries Inc."</f>
        <v>Toray Industries Inc.</v>
      </c>
      <c r="F429" s="12" t="str">
        <f>"1-1, Nihonbaschi-Muromachi 2-chome"</f>
        <v>1-1, Nihonbaschi-Muromachi 2-chome</v>
      </c>
      <c r="G429" s="12" t="str">
        <f>"JP-103-8666"</f>
        <v>JP-103-8666</v>
      </c>
      <c r="H429" s="12" t="str">
        <f>"Chuo-ku Tokyo"</f>
        <v>Chuo-ku Tokyo</v>
      </c>
      <c r="I429" s="12" t="str">
        <f>"KT005670"</f>
        <v>KT005670</v>
      </c>
      <c r="J429" s="12" t="str">
        <f>"QS Engineering AG"</f>
        <v>QS Engineering AG</v>
      </c>
      <c r="K429" s="12" t="str">
        <f>"Erlenstrase 31"</f>
        <v>Erlenstrase 31</v>
      </c>
      <c r="L429" s="12" t="str">
        <f>"CH-4106"</f>
        <v>CH-4106</v>
      </c>
      <c r="M429" s="12" t="str">
        <f>"Therwil"</f>
        <v>Therwil</v>
      </c>
      <c r="N429" s="12" t="str">
        <f>"CHRN-AR-20000145"</f>
        <v>CHRN-AR-20000145</v>
      </c>
      <c r="O429" s="12" t="str">
        <f>"KT001216"</f>
        <v>KT001216</v>
      </c>
      <c r="P429" s="13" t="str">
        <f>"Mediq Suisse AG"</f>
        <v>Mediq Suisse AG</v>
      </c>
    </row>
    <row r="430" spans="1:16" x14ac:dyDescent="0.15">
      <c r="A430" s="11" t="str">
        <f>"EST-PMXLAV2M"</f>
        <v>EST-PMXLAV2M</v>
      </c>
      <c r="B430" s="12" t="str">
        <f>"A/V blood line for Estorflow 2020"</f>
        <v>A/V blood line for Estorflow 2020</v>
      </c>
      <c r="C430" s="12" t="str">
        <f>"MDR Risikoklasse IIa"</f>
        <v>MDR Risikoklasse IIa</v>
      </c>
      <c r="D430" s="12" t="str">
        <f>"KT005673"</f>
        <v>KT005673</v>
      </c>
      <c r="E430" s="12" t="str">
        <f>"F.M. S.P.A."</f>
        <v>F.M. S.P.A.</v>
      </c>
      <c r="F430" s="12" t="str">
        <f>"Via Farini 65"</f>
        <v>Via Farini 65</v>
      </c>
      <c r="G430" s="12" t="str">
        <f>"IT-13043"</f>
        <v>IT-13043</v>
      </c>
      <c r="H430" s="12" t="str">
        <f>"Cigliano (VC)"</f>
        <v>Cigliano (VC)</v>
      </c>
      <c r="I430" s="12" t="str">
        <f>"KT005670"</f>
        <v>KT005670</v>
      </c>
      <c r="J430" s="12" t="str">
        <f>"QS Engineering AG"</f>
        <v>QS Engineering AG</v>
      </c>
      <c r="K430" s="12" t="str">
        <f>"Erlenstrase 31"</f>
        <v>Erlenstrase 31</v>
      </c>
      <c r="L430" s="12" t="str">
        <f>"CH-4106"</f>
        <v>CH-4106</v>
      </c>
      <c r="M430" s="12" t="str">
        <f>"Therwil"</f>
        <v>Therwil</v>
      </c>
      <c r="N430" s="12" t="str">
        <f>"CHRN-AR-20000145"</f>
        <v>CHRN-AR-20000145</v>
      </c>
      <c r="O430" s="12" t="str">
        <f>"KT001216"</f>
        <v>KT001216</v>
      </c>
      <c r="P430" s="13" t="str">
        <f>"Mediq Suisse AG"</f>
        <v>Mediq Suisse AG</v>
      </c>
    </row>
    <row r="431" spans="1:16" x14ac:dyDescent="0.15">
      <c r="A431" s="11" t="str">
        <f>"EST-PMX-LF C 02"</f>
        <v>EST-PMX-LF C 02</v>
      </c>
      <c r="B431" s="12" t="str">
        <f>"Toraymyxin Schlauchset zum ProLung Gerät"</f>
        <v>Toraymyxin Schlauchset zum ProLung Gerät</v>
      </c>
      <c r="C431" s="12" t="str">
        <f>"MDR Risikoklasse IIa"</f>
        <v>MDR Risikoklasse IIa</v>
      </c>
      <c r="D431" s="12" t="str">
        <f>"KT005673"</f>
        <v>KT005673</v>
      </c>
      <c r="E431" s="12" t="str">
        <f>"F.M. S.P.A."</f>
        <v>F.M. S.P.A.</v>
      </c>
      <c r="F431" s="12" t="str">
        <f>"Via Farini 65"</f>
        <v>Via Farini 65</v>
      </c>
      <c r="G431" s="12" t="str">
        <f>"IT-13043"</f>
        <v>IT-13043</v>
      </c>
      <c r="H431" s="12" t="str">
        <f>"Cigliano (VC)"</f>
        <v>Cigliano (VC)</v>
      </c>
      <c r="I431" s="12" t="str">
        <f>"KT005670"</f>
        <v>KT005670</v>
      </c>
      <c r="J431" s="12" t="str">
        <f>"QS Engineering AG"</f>
        <v>QS Engineering AG</v>
      </c>
      <c r="K431" s="12" t="str">
        <f>"Erlenstrase 31"</f>
        <v>Erlenstrase 31</v>
      </c>
      <c r="L431" s="12" t="str">
        <f>"CH-4106"</f>
        <v>CH-4106</v>
      </c>
      <c r="M431" s="12" t="str">
        <f>"Therwil"</f>
        <v>Therwil</v>
      </c>
      <c r="N431" s="12" t="str">
        <f>"CHRN-AR-20000145"</f>
        <v>CHRN-AR-20000145</v>
      </c>
      <c r="O431" s="12" t="str">
        <f>"KT001216"</f>
        <v>KT001216</v>
      </c>
      <c r="P431" s="13" t="str">
        <f>"Mediq Suisse AG"</f>
        <v>Mediq Suisse AG</v>
      </c>
    </row>
    <row r="432" spans="1:16" x14ac:dyDescent="0.15">
      <c r="A432" s="11" t="str">
        <f>"G602"</f>
        <v>G602</v>
      </c>
      <c r="B432" s="12" t="str">
        <f>"Alkotip Alkoholtupfer|steril|3x6.5cm"</f>
        <v>Alkotip Alkoholtupfer|steril|3x6.5cm</v>
      </c>
      <c r="C432" s="12" t="str">
        <f>"MDR Risikoklasse IIa"</f>
        <v>MDR Risikoklasse IIa</v>
      </c>
      <c r="D432" s="12" t="str">
        <f>"KT000099"</f>
        <v>KT000099</v>
      </c>
      <c r="E432" s="12" t="str">
        <f>"MEDIQ MEDECO"</f>
        <v>MEDIQ MEDECO</v>
      </c>
      <c r="F432" s="12" t="str">
        <f>"Brandpuntlaan Zuid 14"</f>
        <v>Brandpuntlaan Zuid 14</v>
      </c>
      <c r="G432" s="12" t="str">
        <f>"NL-2665 NZ"</f>
        <v>NL-2665 NZ</v>
      </c>
      <c r="H432" s="12" t="str">
        <f>"Bleiswijk"</f>
        <v>Bleiswijk</v>
      </c>
      <c r="I432" s="12" t="str">
        <f>"KT001216"</f>
        <v>KT001216</v>
      </c>
      <c r="J432" s="12" t="str">
        <f>"Mediq Suisse AG"</f>
        <v>Mediq Suisse AG</v>
      </c>
      <c r="K432" s="12" t="str">
        <f>"Rosengartenstrasse 25"</f>
        <v>Rosengartenstrasse 25</v>
      </c>
      <c r="L432" s="12" t="str">
        <f>"CH-8608"</f>
        <v>CH-8608</v>
      </c>
      <c r="M432" s="12" t="str">
        <f>"Bubikon"</f>
        <v>Bubikon</v>
      </c>
      <c r="N432" s="12" t="str">
        <f>"CHRN-AR-20001658"</f>
        <v>CHRN-AR-20001658</v>
      </c>
      <c r="O432" s="12" t="str">
        <f>"KT001216"</f>
        <v>KT001216</v>
      </c>
      <c r="P432" s="13" t="str">
        <f>"Mediq Suisse AG"</f>
        <v>Mediq Suisse AG</v>
      </c>
    </row>
    <row r="433" spans="1:16" x14ac:dyDescent="0.15">
      <c r="A433" s="11" t="str">
        <f>"IRT6020"</f>
        <v>IRT6020</v>
      </c>
      <c r="B433" s="12" t="str">
        <f>"Thermometer Braun IRT 6020"</f>
        <v>Thermometer Braun IRT 6020</v>
      </c>
      <c r="C433" s="12" t="str">
        <f>"MDR Risikoklasse IIa"</f>
        <v>MDR Risikoklasse IIa</v>
      </c>
      <c r="D433" s="12" t="str">
        <f>"KT000099"</f>
        <v>KT000099</v>
      </c>
      <c r="E433" s="12" t="str">
        <f>"MEDIQ MEDECO"</f>
        <v>MEDIQ MEDECO</v>
      </c>
      <c r="F433" s="12" t="str">
        <f>"Brandpuntlaan Zuid 14"</f>
        <v>Brandpuntlaan Zuid 14</v>
      </c>
      <c r="G433" s="12" t="str">
        <f>"NL-2665 NZ"</f>
        <v>NL-2665 NZ</v>
      </c>
      <c r="H433" s="12" t="str">
        <f>"Bleiswijk"</f>
        <v>Bleiswijk</v>
      </c>
      <c r="I433" s="12" t="str">
        <f>"KT001216"</f>
        <v>KT001216</v>
      </c>
      <c r="J433" s="12" t="str">
        <f>"Mediq Suisse AG"</f>
        <v>Mediq Suisse AG</v>
      </c>
      <c r="K433" s="12" t="str">
        <f>"Rosengartenstrasse 25"</f>
        <v>Rosengartenstrasse 25</v>
      </c>
      <c r="L433" s="12" t="str">
        <f>"CH-8608"</f>
        <v>CH-8608</v>
      </c>
      <c r="M433" s="12" t="str">
        <f>"Bubikon"</f>
        <v>Bubikon</v>
      </c>
      <c r="N433" s="12" t="str">
        <f>"CHRN-AR-20001658"</f>
        <v>CHRN-AR-20001658</v>
      </c>
      <c r="O433" s="12" t="str">
        <f>"KT001216"</f>
        <v>KT001216</v>
      </c>
      <c r="P433" s="13" t="str">
        <f>"Mediq Suisse AG"</f>
        <v>Mediq Suisse AG</v>
      </c>
    </row>
    <row r="434" spans="1:16" x14ac:dyDescent="0.15">
      <c r="A434" s="11" t="str">
        <f>"MIC-372581"</f>
        <v>MIC-372581</v>
      </c>
      <c r="B434" s="12" t="str">
        <f>"Michelin AirProne Side Head Module"</f>
        <v>Michelin AirProne Side Head Module</v>
      </c>
      <c r="C434" s="12" t="str">
        <f>"MDR Risikoklasse I"</f>
        <v>MDR Risikoklasse I</v>
      </c>
      <c r="D434" s="12" t="str">
        <f>"KT007310"</f>
        <v>KT007310</v>
      </c>
      <c r="E434" s="12" t="str">
        <f>"Manufacture Française des Pneumatiques Michelin"</f>
        <v>Manufacture Française des Pneumatiques Michelin</v>
      </c>
      <c r="F434" s="12" t="str">
        <f>"23, Place des Carmes Dechaux "</f>
        <v xml:space="preserve">23, Place des Carmes Dechaux </v>
      </c>
      <c r="G434" s="12" t="str">
        <f>"FR-63000"</f>
        <v>FR-63000</v>
      </c>
      <c r="H434" s="12" t="str">
        <f>"Clermont-Ferrand"</f>
        <v>Clermont-Ferrand</v>
      </c>
      <c r="I434" s="12" t="str">
        <f>"KT005665"</f>
        <v>KT005665</v>
      </c>
      <c r="J434" s="12" t="str">
        <f>"MedEnvoy Switzerland"</f>
        <v>MedEnvoy Switzerland</v>
      </c>
      <c r="K434" s="12" t="str">
        <f>"Gotthardstrasse 28"</f>
        <v>Gotthardstrasse 28</v>
      </c>
      <c r="L434" s="12" t="str">
        <f>"CH-6302"</f>
        <v>CH-6302</v>
      </c>
      <c r="M434" s="12" t="str">
        <f>"Zug"</f>
        <v>Zug</v>
      </c>
      <c r="N434" s="12" t="str">
        <f>"CHRN-AR-20000310"</f>
        <v>CHRN-AR-20000310</v>
      </c>
      <c r="O434" s="12" t="str">
        <f>"KT001216"</f>
        <v>KT001216</v>
      </c>
      <c r="P434" s="13" t="str">
        <f>"Mediq Suisse AG"</f>
        <v>Mediq Suisse AG</v>
      </c>
    </row>
    <row r="435" spans="1:16" x14ac:dyDescent="0.15">
      <c r="A435" s="11" t="str">
        <f>"MIC-468866"</f>
        <v>MIC-468866</v>
      </c>
      <c r="B435" s="12" t="str">
        <f>"Michelin AirProne Front Head Module"</f>
        <v>Michelin AirProne Front Head Module</v>
      </c>
      <c r="C435" s="12" t="str">
        <f>"MDR Risikoklasse I"</f>
        <v>MDR Risikoklasse I</v>
      </c>
      <c r="D435" s="12" t="str">
        <f>"KT007310"</f>
        <v>KT007310</v>
      </c>
      <c r="E435" s="12" t="str">
        <f>"Manufacture Française des Pneumatiques Michelin"</f>
        <v>Manufacture Française des Pneumatiques Michelin</v>
      </c>
      <c r="F435" s="12" t="str">
        <f>"23, Place des Carmes Dechaux "</f>
        <v xml:space="preserve">23, Place des Carmes Dechaux </v>
      </c>
      <c r="G435" s="12" t="str">
        <f>"FR-63000"</f>
        <v>FR-63000</v>
      </c>
      <c r="H435" s="12" t="str">
        <f>"Clermont-Ferrand"</f>
        <v>Clermont-Ferrand</v>
      </c>
      <c r="I435" s="12" t="str">
        <f>"KT005665"</f>
        <v>KT005665</v>
      </c>
      <c r="J435" s="12" t="str">
        <f>"MedEnvoy Switzerland"</f>
        <v>MedEnvoy Switzerland</v>
      </c>
      <c r="K435" s="12" t="str">
        <f>"Gotthardstrasse 28"</f>
        <v>Gotthardstrasse 28</v>
      </c>
      <c r="L435" s="12" t="str">
        <f>"CH-6302"</f>
        <v>CH-6302</v>
      </c>
      <c r="M435" s="12" t="str">
        <f>"Zug"</f>
        <v>Zug</v>
      </c>
      <c r="N435" s="12" t="str">
        <f>"CHRN-AR-20000310"</f>
        <v>CHRN-AR-20000310</v>
      </c>
      <c r="O435" s="12" t="str">
        <f>"KT001216"</f>
        <v>KT001216</v>
      </c>
      <c r="P435" s="13" t="str">
        <f>"Mediq Suisse AG"</f>
        <v>Mediq Suisse AG</v>
      </c>
    </row>
    <row r="436" spans="1:16" x14ac:dyDescent="0.15">
      <c r="A436" s="11" t="str">
        <f>"MIC-593324"</f>
        <v>MIC-593324</v>
      </c>
      <c r="B436" s="12" t="str">
        <f>"Michelin AirProne Kit"</f>
        <v>Michelin AirProne Kit</v>
      </c>
      <c r="C436" s="12" t="str">
        <f>"MDR Risikoklasse I"</f>
        <v>MDR Risikoklasse I</v>
      </c>
      <c r="D436" s="12" t="str">
        <f>"KT007310"</f>
        <v>KT007310</v>
      </c>
      <c r="E436" s="12" t="str">
        <f>"Manufacture Française des Pneumatiques Michelin"</f>
        <v>Manufacture Française des Pneumatiques Michelin</v>
      </c>
      <c r="F436" s="12" t="str">
        <f>"23, Place des Carmes Dechaux "</f>
        <v xml:space="preserve">23, Place des Carmes Dechaux </v>
      </c>
      <c r="G436" s="12" t="str">
        <f>"FR-63000"</f>
        <v>FR-63000</v>
      </c>
      <c r="H436" s="12" t="str">
        <f>"Clermont-Ferrand"</f>
        <v>Clermont-Ferrand</v>
      </c>
      <c r="I436" s="12" t="str">
        <f>"KT005665"</f>
        <v>KT005665</v>
      </c>
      <c r="J436" s="12" t="str">
        <f>"MedEnvoy Switzerland"</f>
        <v>MedEnvoy Switzerland</v>
      </c>
      <c r="K436" s="12" t="str">
        <f>"Gotthardstrasse 28"</f>
        <v>Gotthardstrasse 28</v>
      </c>
      <c r="L436" s="12" t="str">
        <f>"CH-6302"</f>
        <v>CH-6302</v>
      </c>
      <c r="M436" s="12" t="str">
        <f>"Zug"</f>
        <v>Zug</v>
      </c>
      <c r="N436" s="12" t="str">
        <f>"CHRN-AR-20000310"</f>
        <v>CHRN-AR-20000310</v>
      </c>
      <c r="O436" s="12" t="str">
        <f>"KT001216"</f>
        <v>KT001216</v>
      </c>
      <c r="P436" s="13" t="str">
        <f>"Mediq Suisse AG"</f>
        <v>Mediq Suisse AG</v>
      </c>
    </row>
    <row r="437" spans="1:16" x14ac:dyDescent="0.15">
      <c r="A437" s="11" t="str">
        <f>"MIC-812344"</f>
        <v>MIC-812344</v>
      </c>
      <c r="B437" s="12" t="str">
        <f>"Michelin AirProne Thorax Module"</f>
        <v>Michelin AirProne Thorax Module</v>
      </c>
      <c r="C437" s="12" t="str">
        <f>"MDR Risikoklasse I"</f>
        <v>MDR Risikoklasse I</v>
      </c>
      <c r="D437" s="12" t="str">
        <f>"KT007310"</f>
        <v>KT007310</v>
      </c>
      <c r="E437" s="12" t="str">
        <f>"Manufacture Française des Pneumatiques Michelin"</f>
        <v>Manufacture Française des Pneumatiques Michelin</v>
      </c>
      <c r="F437" s="12" t="str">
        <f>"23, Place des Carmes Dechaux "</f>
        <v xml:space="preserve">23, Place des Carmes Dechaux </v>
      </c>
      <c r="G437" s="12" t="str">
        <f>"FR-63000"</f>
        <v>FR-63000</v>
      </c>
      <c r="H437" s="12" t="str">
        <f>"Clermont-Ferrand"</f>
        <v>Clermont-Ferrand</v>
      </c>
      <c r="I437" s="12" t="str">
        <f>"KT005665"</f>
        <v>KT005665</v>
      </c>
      <c r="J437" s="12" t="str">
        <f>"MedEnvoy Switzerland"</f>
        <v>MedEnvoy Switzerland</v>
      </c>
      <c r="K437" s="12" t="str">
        <f>"Gotthardstrasse 28"</f>
        <v>Gotthardstrasse 28</v>
      </c>
      <c r="L437" s="12" t="str">
        <f>"CH-6302"</f>
        <v>CH-6302</v>
      </c>
      <c r="M437" s="12" t="str">
        <f>"Zug"</f>
        <v>Zug</v>
      </c>
      <c r="N437" s="12" t="str">
        <f>"CHRN-AR-20000310"</f>
        <v>CHRN-AR-20000310</v>
      </c>
      <c r="O437" s="12" t="str">
        <f>"KT001216"</f>
        <v>KT001216</v>
      </c>
      <c r="P437" s="13" t="str">
        <f>"Mediq Suisse AG"</f>
        <v>Mediq Suisse AG</v>
      </c>
    </row>
    <row r="438" spans="1:16" x14ac:dyDescent="0.15">
      <c r="A438" s="11" t="str">
        <f>"MIC-ET460025"</f>
        <v>MIC-ET460025</v>
      </c>
      <c r="B438" s="12" t="str">
        <f>"Michelin AirProne Thorax Cover"</f>
        <v>Michelin AirProne Thorax Cover</v>
      </c>
      <c r="C438" s="12" t="str">
        <f>"MDR Risikoklasse I"</f>
        <v>MDR Risikoklasse I</v>
      </c>
      <c r="D438" s="12" t="str">
        <f>"KT007310"</f>
        <v>KT007310</v>
      </c>
      <c r="E438" s="12" t="str">
        <f>"Manufacture Française des Pneumatiques Michelin"</f>
        <v>Manufacture Française des Pneumatiques Michelin</v>
      </c>
      <c r="F438" s="12" t="str">
        <f>"23, Place des Carmes Dechaux "</f>
        <v xml:space="preserve">23, Place des Carmes Dechaux </v>
      </c>
      <c r="G438" s="12" t="str">
        <f>"FR-63000"</f>
        <v>FR-63000</v>
      </c>
      <c r="H438" s="12" t="str">
        <f>"Clermont-Ferrand"</f>
        <v>Clermont-Ferrand</v>
      </c>
      <c r="I438" s="12" t="str">
        <f>"KT005665"</f>
        <v>KT005665</v>
      </c>
      <c r="J438" s="12" t="str">
        <f>"MedEnvoy Switzerland"</f>
        <v>MedEnvoy Switzerland</v>
      </c>
      <c r="K438" s="12" t="str">
        <f>"Gotthardstrasse 28"</f>
        <v>Gotthardstrasse 28</v>
      </c>
      <c r="L438" s="12" t="str">
        <f>"CH-6302"</f>
        <v>CH-6302</v>
      </c>
      <c r="M438" s="12" t="str">
        <f>"Zug"</f>
        <v>Zug</v>
      </c>
      <c r="N438" s="12" t="str">
        <f>"CHRN-AR-20000310"</f>
        <v>CHRN-AR-20000310</v>
      </c>
      <c r="O438" s="12" t="str">
        <f>"KT001216"</f>
        <v>KT001216</v>
      </c>
      <c r="P438" s="13" t="str">
        <f>"Mediq Suisse AG"</f>
        <v>Mediq Suisse AG</v>
      </c>
    </row>
    <row r="439" spans="1:16" x14ac:dyDescent="0.15">
      <c r="A439" s="11" t="str">
        <f>"MIC-ET499629"</f>
        <v>MIC-ET499629</v>
      </c>
      <c r="B439" s="12" t="str">
        <f>"Michelin AirProne Side Head Cover"</f>
        <v>Michelin AirProne Side Head Cover</v>
      </c>
      <c r="C439" s="12" t="str">
        <f>"MDR Risikoklasse I"</f>
        <v>MDR Risikoklasse I</v>
      </c>
      <c r="D439" s="12" t="str">
        <f>"KT007310"</f>
        <v>KT007310</v>
      </c>
      <c r="E439" s="12" t="str">
        <f>"Manufacture Française des Pneumatiques Michelin"</f>
        <v>Manufacture Française des Pneumatiques Michelin</v>
      </c>
      <c r="F439" s="12" t="str">
        <f>"23, Place des Carmes Dechaux "</f>
        <v xml:space="preserve">23, Place des Carmes Dechaux </v>
      </c>
      <c r="G439" s="12" t="str">
        <f>"FR-63000"</f>
        <v>FR-63000</v>
      </c>
      <c r="H439" s="12" t="str">
        <f>"Clermont-Ferrand"</f>
        <v>Clermont-Ferrand</v>
      </c>
      <c r="I439" s="12" t="str">
        <f>"KT005665"</f>
        <v>KT005665</v>
      </c>
      <c r="J439" s="12" t="str">
        <f>"MedEnvoy Switzerland"</f>
        <v>MedEnvoy Switzerland</v>
      </c>
      <c r="K439" s="12" t="str">
        <f>"Gotthardstrasse 28"</f>
        <v>Gotthardstrasse 28</v>
      </c>
      <c r="L439" s="12" t="str">
        <f>"CH-6302"</f>
        <v>CH-6302</v>
      </c>
      <c r="M439" s="12" t="str">
        <f>"Zug"</f>
        <v>Zug</v>
      </c>
      <c r="N439" s="12" t="str">
        <f>"CHRN-AR-20000310"</f>
        <v>CHRN-AR-20000310</v>
      </c>
      <c r="O439" s="12" t="str">
        <f>"KT001216"</f>
        <v>KT001216</v>
      </c>
      <c r="P439" s="13" t="str">
        <f>"Mediq Suisse AG"</f>
        <v>Mediq Suisse AG</v>
      </c>
    </row>
    <row r="440" spans="1:16" x14ac:dyDescent="0.15">
      <c r="A440" s="11" t="str">
        <f>"MIC-ET737974"</f>
        <v>MIC-ET737974</v>
      </c>
      <c r="B440" s="12" t="str">
        <f>"Michelin AirProne Front Head Cover"</f>
        <v>Michelin AirProne Front Head Cover</v>
      </c>
      <c r="C440" s="12" t="str">
        <f>"MDR Risikoklasse I"</f>
        <v>MDR Risikoklasse I</v>
      </c>
      <c r="D440" s="12" t="str">
        <f>"KT007310"</f>
        <v>KT007310</v>
      </c>
      <c r="E440" s="12" t="str">
        <f>"Manufacture Française des Pneumatiques Michelin"</f>
        <v>Manufacture Française des Pneumatiques Michelin</v>
      </c>
      <c r="F440" s="12" t="str">
        <f>"23, Place des Carmes Dechaux "</f>
        <v xml:space="preserve">23, Place des Carmes Dechaux </v>
      </c>
      <c r="G440" s="12" t="str">
        <f>"FR-63000"</f>
        <v>FR-63000</v>
      </c>
      <c r="H440" s="12" t="str">
        <f>"Clermont-Ferrand"</f>
        <v>Clermont-Ferrand</v>
      </c>
      <c r="I440" s="12" t="str">
        <f>"KT005665"</f>
        <v>KT005665</v>
      </c>
      <c r="J440" s="12" t="str">
        <f>"MedEnvoy Switzerland"</f>
        <v>MedEnvoy Switzerland</v>
      </c>
      <c r="K440" s="12" t="str">
        <f>"Gotthardstrasse 28"</f>
        <v>Gotthardstrasse 28</v>
      </c>
      <c r="L440" s="12" t="str">
        <f>"CH-6302"</f>
        <v>CH-6302</v>
      </c>
      <c r="M440" s="12" t="str">
        <f>"Zug"</f>
        <v>Zug</v>
      </c>
      <c r="N440" s="12" t="str">
        <f>"CHRN-AR-20000310"</f>
        <v>CHRN-AR-20000310</v>
      </c>
      <c r="O440" s="12" t="str">
        <f>"KT001216"</f>
        <v>KT001216</v>
      </c>
      <c r="P440" s="13" t="str">
        <f>"Mediq Suisse AG"</f>
        <v>Mediq Suisse AG</v>
      </c>
    </row>
    <row r="441" spans="1:16" x14ac:dyDescent="0.15">
      <c r="A441" s="11" t="str">
        <f>"MTS-03141"</f>
        <v>MTS-03141</v>
      </c>
      <c r="B441" s="12" t="str">
        <f>"Einwegschere|chirurgisch|Stahl rostfrei|steril"</f>
        <v>Einwegschere|chirurgisch|Stahl rostfrei|steril</v>
      </c>
      <c r="C441" s="12" t="str">
        <f>"MDR Risikoklasse IIa"</f>
        <v>MDR Risikoklasse IIa</v>
      </c>
      <c r="D441" s="12" t="str">
        <f>"KT000100"</f>
        <v>KT000100</v>
      </c>
      <c r="E441" s="12" t="str">
        <f>"LCH Medical Products"</f>
        <v>LCH Medical Products</v>
      </c>
      <c r="F441" s="12" t="str">
        <f>"Rue due Thionville"</f>
        <v>Rue due Thionville</v>
      </c>
      <c r="G441" s="12" t="str">
        <f>"FR-FR-75019"</f>
        <v>FR-FR-75019</v>
      </c>
      <c r="H441" s="12" t="str">
        <f>"PARIS"</f>
        <v>PARIS</v>
      </c>
      <c r="I441" s="12" t="str">
        <f>"KT010481"</f>
        <v>KT010481</v>
      </c>
      <c r="J441" s="12" t="str">
        <f>"Oroxus Sàrl"</f>
        <v>Oroxus Sàrl</v>
      </c>
      <c r="K441" s="12" t="str">
        <f>"Route du Rhône 10"</f>
        <v>Route du Rhône 10</v>
      </c>
      <c r="L441" s="12" t="str">
        <f>"CH-1963"</f>
        <v>CH-1963</v>
      </c>
      <c r="M441" s="12" t="str">
        <f>"Vétroz"</f>
        <v>Vétroz</v>
      </c>
      <c r="N441" s="12" t="str">
        <f>"CHRN-AR-20002021"</f>
        <v>CHRN-AR-20002021</v>
      </c>
      <c r="O441" s="12" t="str">
        <f>"KT001216"</f>
        <v>KT001216</v>
      </c>
      <c r="P441" s="13" t="str">
        <f>"Mediq Suisse AG"</f>
        <v>Mediq Suisse AG</v>
      </c>
    </row>
    <row r="442" spans="1:16" x14ac:dyDescent="0.15">
      <c r="A442" s="11" t="str">
        <f>"NA100-050"</f>
        <v>NA100-050</v>
      </c>
      <c r="B442" s="12" t="str">
        <f>"Nawalution Wundreinigung Spray|50ml"</f>
        <v>Nawalution Wundreinigung Spray|50ml</v>
      </c>
      <c r="C442" s="12" t="str">
        <f>"MDR Risikoklasse IIb"</f>
        <v>MDR Risikoklasse IIb</v>
      </c>
      <c r="D442" s="12" t="str">
        <f>"KT001911"</f>
        <v>KT001911</v>
      </c>
      <c r="E442" s="12" t="str">
        <f>"NAWA Europe Limited"</f>
        <v>NAWA Europe Limited</v>
      </c>
      <c r="F442" s="12" t="str">
        <f>"Ostendstrasse 100"</f>
        <v>Ostendstrasse 100</v>
      </c>
      <c r="G442" s="12" t="str">
        <f>"DE-90482"</f>
        <v>DE-90482</v>
      </c>
      <c r="H442" s="12" t="str">
        <f>"Nürnberg"</f>
        <v>Nürnberg</v>
      </c>
      <c r="I442" s="12" t="str">
        <f>"KT002223"</f>
        <v>KT002223</v>
      </c>
      <c r="J442" s="12" t="str">
        <f>"SWISS Quality ConCap AG"</f>
        <v>SWISS Quality ConCap AG</v>
      </c>
      <c r="K442" s="12" t="str">
        <f>"Forchstrasse 5"</f>
        <v>Forchstrasse 5</v>
      </c>
      <c r="L442" s="12" t="str">
        <f>"CH-8032"</f>
        <v>CH-8032</v>
      </c>
      <c r="M442" s="12" t="str">
        <f>"Zürich"</f>
        <v>Zürich</v>
      </c>
      <c r="N442" s="12" t="str">
        <f>"CHRN-AR-20002010"</f>
        <v>CHRN-AR-20002010</v>
      </c>
      <c r="O442" s="12" t="str">
        <f>"KT001216"</f>
        <v>KT001216</v>
      </c>
      <c r="P442" s="13" t="str">
        <f>"Mediq Suisse AG"</f>
        <v>Mediq Suisse AG</v>
      </c>
    </row>
    <row r="443" spans="1:16" x14ac:dyDescent="0.15">
      <c r="A443" s="11" t="str">
        <f>"NA100-500"</f>
        <v>NA100-500</v>
      </c>
      <c r="B443" s="12" t="str">
        <f>"Nawalution Wundreinigung Lösung|500ml"</f>
        <v>Nawalution Wundreinigung Lösung|500ml</v>
      </c>
      <c r="C443" s="12" t="str">
        <f>"MDR Risikoklasse IIb"</f>
        <v>MDR Risikoklasse IIb</v>
      </c>
      <c r="D443" s="12" t="str">
        <f>"KT001911"</f>
        <v>KT001911</v>
      </c>
      <c r="E443" s="12" t="str">
        <f>"NAWA Europe Limited"</f>
        <v>NAWA Europe Limited</v>
      </c>
      <c r="F443" s="12" t="str">
        <f>"Ostendstrasse 100"</f>
        <v>Ostendstrasse 100</v>
      </c>
      <c r="G443" s="12" t="str">
        <f>"DE-90482"</f>
        <v>DE-90482</v>
      </c>
      <c r="H443" s="12" t="str">
        <f>"Nürnberg"</f>
        <v>Nürnberg</v>
      </c>
      <c r="I443" s="12" t="str">
        <f>"KT002223"</f>
        <v>KT002223</v>
      </c>
      <c r="J443" s="12" t="str">
        <f>"SWISS Quality ConCap AG"</f>
        <v>SWISS Quality ConCap AG</v>
      </c>
      <c r="K443" s="12" t="str">
        <f>"Forchstrasse 5"</f>
        <v>Forchstrasse 5</v>
      </c>
      <c r="L443" s="12" t="str">
        <f>"CH-8032"</f>
        <v>CH-8032</v>
      </c>
      <c r="M443" s="12" t="str">
        <f>"Zürich"</f>
        <v>Zürich</v>
      </c>
      <c r="N443" s="12" t="str">
        <f>"CHRN-AR-20002010"</f>
        <v>CHRN-AR-20002010</v>
      </c>
      <c r="O443" s="12" t="str">
        <f>"KT001216"</f>
        <v>KT001216</v>
      </c>
      <c r="P443" s="13" t="str">
        <f>"Mediq Suisse AG"</f>
        <v>Mediq Suisse AG</v>
      </c>
    </row>
    <row r="444" spans="1:16" x14ac:dyDescent="0.15">
      <c r="A444" s="11" t="str">
        <f>"NA100-500S"</f>
        <v>NA100-500S</v>
      </c>
      <c r="B444" s="12" t="str">
        <f>"Nawalution Wundreinigung Spray|500ml"</f>
        <v>Nawalution Wundreinigung Spray|500ml</v>
      </c>
      <c r="C444" s="12" t="str">
        <f>"MDR Risikoklasse IIb"</f>
        <v>MDR Risikoklasse IIb</v>
      </c>
      <c r="D444" s="12" t="str">
        <f>"KT001911"</f>
        <v>KT001911</v>
      </c>
      <c r="E444" s="12" t="str">
        <f>"NAWA Europe Limited"</f>
        <v>NAWA Europe Limited</v>
      </c>
      <c r="F444" s="12" t="str">
        <f>"Ostendstrasse 100"</f>
        <v>Ostendstrasse 100</v>
      </c>
      <c r="G444" s="12" t="str">
        <f>"DE-90482"</f>
        <v>DE-90482</v>
      </c>
      <c r="H444" s="12" t="str">
        <f>"Nürnberg"</f>
        <v>Nürnberg</v>
      </c>
      <c r="I444" s="12" t="str">
        <f>"KT002223"</f>
        <v>KT002223</v>
      </c>
      <c r="J444" s="12" t="str">
        <f>"SWISS Quality ConCap AG"</f>
        <v>SWISS Quality ConCap AG</v>
      </c>
      <c r="K444" s="12" t="str">
        <f>"Forchstrasse 5"</f>
        <v>Forchstrasse 5</v>
      </c>
      <c r="L444" s="12" t="str">
        <f>"CH-8032"</f>
        <v>CH-8032</v>
      </c>
      <c r="M444" s="12" t="str">
        <f>"Zürich"</f>
        <v>Zürich</v>
      </c>
      <c r="N444" s="12" t="str">
        <f>"CHRN-AR-20002010"</f>
        <v>CHRN-AR-20002010</v>
      </c>
      <c r="O444" s="12" t="str">
        <f>"KT001216"</f>
        <v>KT001216</v>
      </c>
      <c r="P444" s="13" t="str">
        <f>"Mediq Suisse AG"</f>
        <v>Mediq Suisse AG</v>
      </c>
    </row>
    <row r="445" spans="1:16" x14ac:dyDescent="0.15">
      <c r="A445" s="11" t="str">
        <f>"NA200-005"</f>
        <v>NA200-005</v>
      </c>
      <c r="B445" s="12" t="str">
        <f>"Nawalution Hydrogel|10x5ml"</f>
        <v>Nawalution Hydrogel|10x5ml</v>
      </c>
      <c r="C445" s="12" t="str">
        <f>"MDR Risikoklasse IIb"</f>
        <v>MDR Risikoklasse IIb</v>
      </c>
      <c r="D445" s="12" t="str">
        <f>"KT001911"</f>
        <v>KT001911</v>
      </c>
      <c r="E445" s="12" t="str">
        <f>"NAWA Europe Limited"</f>
        <v>NAWA Europe Limited</v>
      </c>
      <c r="F445" s="12" t="str">
        <f>"Ostendstrasse 100"</f>
        <v>Ostendstrasse 100</v>
      </c>
      <c r="G445" s="12" t="str">
        <f>"DE-90482"</f>
        <v>DE-90482</v>
      </c>
      <c r="H445" s="12" t="str">
        <f>"Nürnberg"</f>
        <v>Nürnberg</v>
      </c>
      <c r="I445" s="12" t="str">
        <f>"KT002223"</f>
        <v>KT002223</v>
      </c>
      <c r="J445" s="12" t="str">
        <f>"SWISS Quality ConCap AG"</f>
        <v>SWISS Quality ConCap AG</v>
      </c>
      <c r="K445" s="12" t="str">
        <f>"Forchstrasse 5"</f>
        <v>Forchstrasse 5</v>
      </c>
      <c r="L445" s="12" t="str">
        <f>"CH-8032"</f>
        <v>CH-8032</v>
      </c>
      <c r="M445" s="12" t="str">
        <f>"Zürich"</f>
        <v>Zürich</v>
      </c>
      <c r="N445" s="12" t="str">
        <f>"CHRN-AR-20002010"</f>
        <v>CHRN-AR-20002010</v>
      </c>
      <c r="O445" s="12" t="str">
        <f>"KT001216"</f>
        <v>KT001216</v>
      </c>
      <c r="P445" s="13" t="str">
        <f>"Mediq Suisse AG"</f>
        <v>Mediq Suisse AG</v>
      </c>
    </row>
    <row r="446" spans="1:16" x14ac:dyDescent="0.15">
      <c r="A446" s="11" t="str">
        <f>"NA200-040"</f>
        <v>NA200-040</v>
      </c>
      <c r="B446" s="12" t="str">
        <f>"Nawalution Hydrogel|40ml"</f>
        <v>Nawalution Hydrogel|40ml</v>
      </c>
      <c r="C446" s="12" t="str">
        <f>"MDR Risikoklasse IIb"</f>
        <v>MDR Risikoklasse IIb</v>
      </c>
      <c r="D446" s="12" t="str">
        <f>"KT001911"</f>
        <v>KT001911</v>
      </c>
      <c r="E446" s="12" t="str">
        <f>"NAWA Europe Limited"</f>
        <v>NAWA Europe Limited</v>
      </c>
      <c r="F446" s="12" t="str">
        <f>"Ostendstrasse 100"</f>
        <v>Ostendstrasse 100</v>
      </c>
      <c r="G446" s="12" t="str">
        <f>"DE-90482"</f>
        <v>DE-90482</v>
      </c>
      <c r="H446" s="12" t="str">
        <f>"Nürnberg"</f>
        <v>Nürnberg</v>
      </c>
      <c r="I446" s="12" t="str">
        <f>"KT002223"</f>
        <v>KT002223</v>
      </c>
      <c r="J446" s="12" t="str">
        <f>"SWISS Quality ConCap AG"</f>
        <v>SWISS Quality ConCap AG</v>
      </c>
      <c r="K446" s="12" t="str">
        <f>"Forchstrasse 5"</f>
        <v>Forchstrasse 5</v>
      </c>
      <c r="L446" s="12" t="str">
        <f>"CH-8032"</f>
        <v>CH-8032</v>
      </c>
      <c r="M446" s="12" t="str">
        <f>"Zürich"</f>
        <v>Zürich</v>
      </c>
      <c r="N446" s="12" t="str">
        <f>"CHRN-AR-20002010"</f>
        <v>CHRN-AR-20002010</v>
      </c>
      <c r="O446" s="12" t="str">
        <f>"KT001216"</f>
        <v>KT001216</v>
      </c>
      <c r="P446" s="13" t="str">
        <f>"Mediq Suisse AG"</f>
        <v>Mediq Suisse AG</v>
      </c>
    </row>
    <row r="447" spans="1:16" x14ac:dyDescent="0.15">
      <c r="A447" s="11" t="str">
        <f>"NA300-020"</f>
        <v>NA300-020</v>
      </c>
      <c r="B447" s="12" t="str">
        <f>"Nawa Elektrolyt Salbe S|20g"</f>
        <v>Nawa Elektrolyt Salbe S|20g</v>
      </c>
      <c r="C447" s="12" t="str">
        <f>"MDR Risikoklasse IIa"</f>
        <v>MDR Risikoklasse IIa</v>
      </c>
      <c r="D447" s="12" t="str">
        <f>"KT001911"</f>
        <v>KT001911</v>
      </c>
      <c r="E447" s="12" t="str">
        <f>"NAWA Europe Limited"</f>
        <v>NAWA Europe Limited</v>
      </c>
      <c r="F447" s="12" t="str">
        <f>"Ostendstrasse 100"</f>
        <v>Ostendstrasse 100</v>
      </c>
      <c r="G447" s="12" t="str">
        <f>"DE-90482"</f>
        <v>DE-90482</v>
      </c>
      <c r="H447" s="12" t="str">
        <f>"Nürnberg"</f>
        <v>Nürnberg</v>
      </c>
      <c r="I447" s="12" t="str">
        <f>"KT002223"</f>
        <v>KT002223</v>
      </c>
      <c r="J447" s="12" t="str">
        <f>"SWISS Quality ConCap AG"</f>
        <v>SWISS Quality ConCap AG</v>
      </c>
      <c r="K447" s="12" t="str">
        <f>"Forchstrasse 5"</f>
        <v>Forchstrasse 5</v>
      </c>
      <c r="L447" s="12" t="str">
        <f>"CH-8032"</f>
        <v>CH-8032</v>
      </c>
      <c r="M447" s="12" t="str">
        <f>"Zürich"</f>
        <v>Zürich</v>
      </c>
      <c r="N447" s="12" t="str">
        <f>"CHRN-AR-20002010"</f>
        <v>CHRN-AR-20002010</v>
      </c>
      <c r="O447" s="12" t="str">
        <f>"KT001216"</f>
        <v>KT001216</v>
      </c>
      <c r="P447" s="13" t="str">
        <f>"Mediq Suisse AG"</f>
        <v>Mediq Suisse AG</v>
      </c>
    </row>
    <row r="448" spans="1:16" x14ac:dyDescent="0.15">
      <c r="A448" s="11" t="str">
        <f>"NA300-100"</f>
        <v>NA300-100</v>
      </c>
      <c r="B448" s="12" t="str">
        <f>"Nawa Elektrolyt Salbe S|100g"</f>
        <v>Nawa Elektrolyt Salbe S|100g</v>
      </c>
      <c r="C448" s="12" t="str">
        <f>"MDR Risikoklasse IIa"</f>
        <v>MDR Risikoklasse IIa</v>
      </c>
      <c r="D448" s="12" t="str">
        <f>"KT001911"</f>
        <v>KT001911</v>
      </c>
      <c r="E448" s="12" t="str">
        <f>"NAWA Europe Limited"</f>
        <v>NAWA Europe Limited</v>
      </c>
      <c r="F448" s="12" t="str">
        <f>"Ostendstrasse 100"</f>
        <v>Ostendstrasse 100</v>
      </c>
      <c r="G448" s="12" t="str">
        <f>"DE-90482"</f>
        <v>DE-90482</v>
      </c>
      <c r="H448" s="12" t="str">
        <f>"Nürnberg"</f>
        <v>Nürnberg</v>
      </c>
      <c r="I448" s="12" t="str">
        <f>"KT002223"</f>
        <v>KT002223</v>
      </c>
      <c r="J448" s="12" t="str">
        <f>"SWISS Quality ConCap AG"</f>
        <v>SWISS Quality ConCap AG</v>
      </c>
      <c r="K448" s="12" t="str">
        <f>"Forchstrasse 5"</f>
        <v>Forchstrasse 5</v>
      </c>
      <c r="L448" s="12" t="str">
        <f>"CH-8032"</f>
        <v>CH-8032</v>
      </c>
      <c r="M448" s="12" t="str">
        <f>"Zürich"</f>
        <v>Zürich</v>
      </c>
      <c r="N448" s="12" t="str">
        <f>"CHRN-AR-20002010"</f>
        <v>CHRN-AR-20002010</v>
      </c>
      <c r="O448" s="12" t="str">
        <f>"KT001216"</f>
        <v>KT001216</v>
      </c>
      <c r="P448" s="13" t="str">
        <f>"Mediq Suisse AG"</f>
        <v>Mediq Suisse AG</v>
      </c>
    </row>
    <row r="449" spans="1:16" x14ac:dyDescent="0.15">
      <c r="A449" s="11" t="str">
        <f>"NAR-EE-0203-500"</f>
        <v>NAR-EE-0203-500</v>
      </c>
      <c r="B449" s="12" t="str">
        <f>"Narcotrend Elektroden"</f>
        <v>Narcotrend Elektroden</v>
      </c>
      <c r="C449" s="12" t="str">
        <f>"MDR Risikoklasse IIb"</f>
        <v>MDR Risikoklasse IIb</v>
      </c>
      <c r="D449" s="12" t="str">
        <f>"KT007454"</f>
        <v>KT007454</v>
      </c>
      <c r="E449" s="12" t="str">
        <f>"MT Monitor Technik GmbH &amp; Co. KG"</f>
        <v>MT Monitor Technik GmbH &amp; Co. KG</v>
      </c>
      <c r="F449" s="12" t="str">
        <f>"Fuhrberger Strasse 4"</f>
        <v>Fuhrberger Strasse 4</v>
      </c>
      <c r="G449" s="12" t="str">
        <f>"DE-30625"</f>
        <v>DE-30625</v>
      </c>
      <c r="H449" s="12" t="str">
        <f>"Hannover"</f>
        <v>Hannover</v>
      </c>
      <c r="I449" s="12" t="str">
        <f>"KT007056"</f>
        <v>KT007056</v>
      </c>
      <c r="J449" s="12" t="str">
        <f>"Swiss AR Services GmbH"</f>
        <v>Swiss AR Services GmbH</v>
      </c>
      <c r="K449" s="12" t="str">
        <f>"Industriestrasse 47"</f>
        <v>Industriestrasse 47</v>
      </c>
      <c r="L449" s="12" t="str">
        <f>"CH-6300"</f>
        <v>CH-6300</v>
      </c>
      <c r="M449" s="12" t="str">
        <f>"Zug"</f>
        <v>Zug</v>
      </c>
      <c r="N449" s="12" t="str">
        <f>"CHRN-AR-20000807"</f>
        <v>CHRN-AR-20000807</v>
      </c>
      <c r="O449" s="12" t="str">
        <f>"KT001216"</f>
        <v>KT001216</v>
      </c>
      <c r="P449" s="13" t="str">
        <f>"Mediq Suisse AG"</f>
        <v>Mediq Suisse AG</v>
      </c>
    </row>
    <row r="450" spans="1:16" x14ac:dyDescent="0.15">
      <c r="A450" s="11" t="str">
        <f>"NAR-EK-0303"</f>
        <v>NAR-EK-0303</v>
      </c>
      <c r="B450" s="12" t="str">
        <f>"Braintrend Patientenkabel 1-Kanal (PKB1)"</f>
        <v>Braintrend Patientenkabel 1-Kanal (PKB1)</v>
      </c>
      <c r="C450" s="12" t="str">
        <f>"MDR Risikoklasse IIb"</f>
        <v>MDR Risikoklasse IIb</v>
      </c>
      <c r="D450" s="12" t="str">
        <f>"KT007454"</f>
        <v>KT007454</v>
      </c>
      <c r="E450" s="12" t="str">
        <f>"MT Monitor Technik GmbH &amp; Co. KG"</f>
        <v>MT Monitor Technik GmbH &amp; Co. KG</v>
      </c>
      <c r="F450" s="12" t="str">
        <f>"Fuhrberger Strasse 4"</f>
        <v>Fuhrberger Strasse 4</v>
      </c>
      <c r="G450" s="12" t="str">
        <f>"DE-30625"</f>
        <v>DE-30625</v>
      </c>
      <c r="H450" s="12" t="str">
        <f>"Hannover"</f>
        <v>Hannover</v>
      </c>
      <c r="I450" s="12" t="str">
        <f>"KT007056"</f>
        <v>KT007056</v>
      </c>
      <c r="J450" s="12" t="str">
        <f>"Swiss AR Services GmbH"</f>
        <v>Swiss AR Services GmbH</v>
      </c>
      <c r="K450" s="12" t="str">
        <f>"Industriestrasse 47"</f>
        <v>Industriestrasse 47</v>
      </c>
      <c r="L450" s="12" t="str">
        <f>"CH-6300"</f>
        <v>CH-6300</v>
      </c>
      <c r="M450" s="12" t="str">
        <f>"Zug"</f>
        <v>Zug</v>
      </c>
      <c r="N450" s="12" t="str">
        <f>"CHRN-AR-20000807"</f>
        <v>CHRN-AR-20000807</v>
      </c>
      <c r="O450" s="12" t="str">
        <f>"KT001216"</f>
        <v>KT001216</v>
      </c>
      <c r="P450" s="13" t="str">
        <f>"Mediq Suisse AG"</f>
        <v>Mediq Suisse AG</v>
      </c>
    </row>
    <row r="451" spans="1:16" x14ac:dyDescent="0.15">
      <c r="A451" s="11" t="str">
        <f>"NAR-EK-0304"</f>
        <v>NAR-EK-0304</v>
      </c>
      <c r="B451" s="12" t="str">
        <f>"Braintrend Patientenkabel 2-Kanal (PKB2)"</f>
        <v>Braintrend Patientenkabel 2-Kanal (PKB2)</v>
      </c>
      <c r="C451" s="12" t="str">
        <f>"MDR Risikoklasse IIb"</f>
        <v>MDR Risikoklasse IIb</v>
      </c>
      <c r="D451" s="12" t="str">
        <f>"KT007454"</f>
        <v>KT007454</v>
      </c>
      <c r="E451" s="12" t="str">
        <f>"MT Monitor Technik GmbH &amp; Co. KG"</f>
        <v>MT Monitor Technik GmbH &amp; Co. KG</v>
      </c>
      <c r="F451" s="12" t="str">
        <f>"Fuhrberger Strasse 4"</f>
        <v>Fuhrberger Strasse 4</v>
      </c>
      <c r="G451" s="12" t="str">
        <f>"DE-30625"</f>
        <v>DE-30625</v>
      </c>
      <c r="H451" s="12" t="str">
        <f>"Hannover"</f>
        <v>Hannover</v>
      </c>
      <c r="I451" s="12" t="str">
        <f>"KT007056"</f>
        <v>KT007056</v>
      </c>
      <c r="J451" s="12" t="str">
        <f>"Swiss AR Services GmbH"</f>
        <v>Swiss AR Services GmbH</v>
      </c>
      <c r="K451" s="12" t="str">
        <f>"Industriestrasse 47"</f>
        <v>Industriestrasse 47</v>
      </c>
      <c r="L451" s="12" t="str">
        <f>"CH-6300"</f>
        <v>CH-6300</v>
      </c>
      <c r="M451" s="12" t="str">
        <f>"Zug"</f>
        <v>Zug</v>
      </c>
      <c r="N451" s="12" t="str">
        <f>"CHRN-AR-20000807"</f>
        <v>CHRN-AR-20000807</v>
      </c>
      <c r="O451" s="12" t="str">
        <f>"KT001216"</f>
        <v>KT001216</v>
      </c>
      <c r="P451" s="13" t="str">
        <f>"Mediq Suisse AG"</f>
        <v>Mediq Suisse AG</v>
      </c>
    </row>
    <row r="452" spans="1:16" x14ac:dyDescent="0.15">
      <c r="A452" s="11" t="str">
        <f>"NAR-NC-0105"</f>
        <v>NAR-NC-0105</v>
      </c>
      <c r="B452" s="12" t="str">
        <f>"Med. Steckernetzteil f. Narcotrend"</f>
        <v>Med. Steckernetzteil f. Narcotrend</v>
      </c>
      <c r="C452" s="12" t="str">
        <f>"MDR Risikoklasse IIb"</f>
        <v>MDR Risikoklasse IIb</v>
      </c>
      <c r="D452" s="12" t="str">
        <f>"KT007454"</f>
        <v>KT007454</v>
      </c>
      <c r="E452" s="12" t="str">
        <f>"MT Monitor Technik GmbH &amp; Co. KG"</f>
        <v>MT Monitor Technik GmbH &amp; Co. KG</v>
      </c>
      <c r="F452" s="12" t="str">
        <f>"Fuhrberger Strasse 4"</f>
        <v>Fuhrberger Strasse 4</v>
      </c>
      <c r="G452" s="12" t="str">
        <f>"DE-30625"</f>
        <v>DE-30625</v>
      </c>
      <c r="H452" s="12" t="str">
        <f>"Hannover"</f>
        <v>Hannover</v>
      </c>
      <c r="I452" s="12" t="str">
        <f>"KT007056"</f>
        <v>KT007056</v>
      </c>
      <c r="J452" s="12" t="str">
        <f>"Swiss AR Services GmbH"</f>
        <v>Swiss AR Services GmbH</v>
      </c>
      <c r="K452" s="12" t="str">
        <f>"Industriestrasse 47"</f>
        <v>Industriestrasse 47</v>
      </c>
      <c r="L452" s="12" t="str">
        <f>"CH-6300"</f>
        <v>CH-6300</v>
      </c>
      <c r="M452" s="12" t="str">
        <f>"Zug"</f>
        <v>Zug</v>
      </c>
      <c r="N452" s="12" t="str">
        <f>"CHRN-AR-20000807"</f>
        <v>CHRN-AR-20000807</v>
      </c>
      <c r="O452" s="12" t="str">
        <f>"KT001216"</f>
        <v>KT001216</v>
      </c>
      <c r="P452" s="13" t="str">
        <f>"Mediq Suisse AG"</f>
        <v>Mediq Suisse AG</v>
      </c>
    </row>
    <row r="453" spans="1:16" x14ac:dyDescent="0.15">
      <c r="A453" s="11" t="str">
        <f>"NAR-NC-0107"</f>
        <v>NAR-NC-0107</v>
      </c>
      <c r="B453" s="12" t="str">
        <f>"Ersatzbatterie f. Narcotrend"</f>
        <v>Ersatzbatterie f. Narcotrend</v>
      </c>
      <c r="C453" s="12" t="str">
        <f>"MDR Risikoklasse IIb"</f>
        <v>MDR Risikoklasse IIb</v>
      </c>
      <c r="D453" s="12" t="str">
        <f>"KT007454"</f>
        <v>KT007454</v>
      </c>
      <c r="E453" s="12" t="str">
        <f>"MT Monitor Technik GmbH &amp; Co. KG"</f>
        <v>MT Monitor Technik GmbH &amp; Co. KG</v>
      </c>
      <c r="F453" s="12" t="str">
        <f>"Fuhrberger Strasse 4"</f>
        <v>Fuhrberger Strasse 4</v>
      </c>
      <c r="G453" s="12" t="str">
        <f>"DE-30625"</f>
        <v>DE-30625</v>
      </c>
      <c r="H453" s="12" t="str">
        <f>"Hannover"</f>
        <v>Hannover</v>
      </c>
      <c r="I453" s="12" t="str">
        <f>"KT007056"</f>
        <v>KT007056</v>
      </c>
      <c r="J453" s="12" t="str">
        <f>"Swiss AR Services GmbH"</f>
        <v>Swiss AR Services GmbH</v>
      </c>
      <c r="K453" s="12" t="str">
        <f>"Industriestrasse 47"</f>
        <v>Industriestrasse 47</v>
      </c>
      <c r="L453" s="12" t="str">
        <f>"CH-6300"</f>
        <v>CH-6300</v>
      </c>
      <c r="M453" s="12" t="str">
        <f>"Zug"</f>
        <v>Zug</v>
      </c>
      <c r="N453" s="12" t="str">
        <f>"CHRN-AR-20000807"</f>
        <v>CHRN-AR-20000807</v>
      </c>
      <c r="O453" s="12" t="str">
        <f>"KT001216"</f>
        <v>KT001216</v>
      </c>
      <c r="P453" s="13" t="str">
        <f>"Mediq Suisse AG"</f>
        <v>Mediq Suisse AG</v>
      </c>
    </row>
    <row r="454" spans="1:16" x14ac:dyDescent="0.15">
      <c r="A454" s="11" t="str">
        <f>"NAR-NC-0109"</f>
        <v>NAR-NC-0109</v>
      </c>
      <c r="B454" s="12" t="str">
        <f>"Ersatzbatterie f. Narcotrend"</f>
        <v>Ersatzbatterie f. Narcotrend</v>
      </c>
      <c r="C454" s="12" t="str">
        <f>"MDR Risikoklasse IIb"</f>
        <v>MDR Risikoklasse IIb</v>
      </c>
      <c r="D454" s="12" t="str">
        <f>"KT007454"</f>
        <v>KT007454</v>
      </c>
      <c r="E454" s="12" t="str">
        <f>"MT Monitor Technik GmbH &amp; Co. KG"</f>
        <v>MT Monitor Technik GmbH &amp; Co. KG</v>
      </c>
      <c r="F454" s="12" t="str">
        <f>"Fuhrberger Strasse 4"</f>
        <v>Fuhrberger Strasse 4</v>
      </c>
      <c r="G454" s="12" t="str">
        <f>"DE-30625"</f>
        <v>DE-30625</v>
      </c>
      <c r="H454" s="12" t="str">
        <f>"Hannover"</f>
        <v>Hannover</v>
      </c>
      <c r="I454" s="12" t="str">
        <f>"KT007056"</f>
        <v>KT007056</v>
      </c>
      <c r="J454" s="12" t="str">
        <f>"Swiss AR Services GmbH"</f>
        <v>Swiss AR Services GmbH</v>
      </c>
      <c r="K454" s="12" t="str">
        <f>"Industriestrasse 47"</f>
        <v>Industriestrasse 47</v>
      </c>
      <c r="L454" s="12" t="str">
        <f>"CH-6300"</f>
        <v>CH-6300</v>
      </c>
      <c r="M454" s="12" t="str">
        <f>"Zug"</f>
        <v>Zug</v>
      </c>
      <c r="N454" s="12" t="str">
        <f>"CHRN-AR-20000807"</f>
        <v>CHRN-AR-20000807</v>
      </c>
      <c r="O454" s="12" t="str">
        <f>"KT001216"</f>
        <v>KT001216</v>
      </c>
      <c r="P454" s="13" t="str">
        <f>"Mediq Suisse AG"</f>
        <v>Mediq Suisse AG</v>
      </c>
    </row>
    <row r="455" spans="1:16" x14ac:dyDescent="0.15">
      <c r="A455" s="11" t="str">
        <f>"NAR-NN-0101"</f>
        <v>NAR-NN-0101</v>
      </c>
      <c r="B455" s="12" t="str">
        <f>"Braintrend aEEG Cerebraler Funktionsmonitor für Neonatologie"</f>
        <v>Braintrend aEEG Cerebraler Funktionsmonitor für Neonatologie</v>
      </c>
      <c r="C455" s="12" t="str">
        <f>"MDR Risikoklasse IIb"</f>
        <v>MDR Risikoklasse IIb</v>
      </c>
      <c r="D455" s="12" t="str">
        <f>"KT007454"</f>
        <v>KT007454</v>
      </c>
      <c r="E455" s="12" t="str">
        <f>"MT Monitor Technik GmbH &amp; Co. KG"</f>
        <v>MT Monitor Technik GmbH &amp; Co. KG</v>
      </c>
      <c r="F455" s="12" t="str">
        <f>"Fuhrberger Strasse 4"</f>
        <v>Fuhrberger Strasse 4</v>
      </c>
      <c r="G455" s="12" t="str">
        <f>"DE-30625"</f>
        <v>DE-30625</v>
      </c>
      <c r="H455" s="12" t="str">
        <f>"Hannover"</f>
        <v>Hannover</v>
      </c>
      <c r="I455" s="12" t="str">
        <f>"KT007056"</f>
        <v>KT007056</v>
      </c>
      <c r="J455" s="12" t="str">
        <f>"Swiss AR Services GmbH"</f>
        <v>Swiss AR Services GmbH</v>
      </c>
      <c r="K455" s="12" t="str">
        <f>"Industriestrasse 47"</f>
        <v>Industriestrasse 47</v>
      </c>
      <c r="L455" s="12" t="str">
        <f>"CH-6300"</f>
        <v>CH-6300</v>
      </c>
      <c r="M455" s="12" t="str">
        <f>"Zug"</f>
        <v>Zug</v>
      </c>
      <c r="N455" s="12" t="str">
        <f>"CHRN-AR-20000807"</f>
        <v>CHRN-AR-20000807</v>
      </c>
      <c r="O455" s="12" t="str">
        <f>"KT001216"</f>
        <v>KT001216</v>
      </c>
      <c r="P455" s="13" t="str">
        <f>"Mediq Suisse AG"</f>
        <v>Mediq Suisse AG</v>
      </c>
    </row>
    <row r="456" spans="1:16" x14ac:dyDescent="0.15">
      <c r="A456" s="11" t="str">
        <f>"NAR-NN-0102"</f>
        <v>NAR-NN-0102</v>
      </c>
      <c r="B456" s="12" t="str">
        <f>"Braintrend Sharp Transient Intensity Software"</f>
        <v>Braintrend Sharp Transient Intensity Software</v>
      </c>
      <c r="C456" s="12" t="str">
        <f>"MDR Risikoklasse IIb"</f>
        <v>MDR Risikoklasse IIb</v>
      </c>
      <c r="D456" s="12" t="str">
        <f>"KT007454"</f>
        <v>KT007454</v>
      </c>
      <c r="E456" s="12" t="str">
        <f>"MT Monitor Technik GmbH &amp; Co. KG"</f>
        <v>MT Monitor Technik GmbH &amp; Co. KG</v>
      </c>
      <c r="F456" s="12" t="str">
        <f>"Fuhrberger Strasse 4"</f>
        <v>Fuhrberger Strasse 4</v>
      </c>
      <c r="G456" s="12" t="str">
        <f>"DE-30625"</f>
        <v>DE-30625</v>
      </c>
      <c r="H456" s="12" t="str">
        <f>"Hannover"</f>
        <v>Hannover</v>
      </c>
      <c r="I456" s="12" t="str">
        <f>"KT007056"</f>
        <v>KT007056</v>
      </c>
      <c r="J456" s="12" t="str">
        <f>"Swiss AR Services GmbH"</f>
        <v>Swiss AR Services GmbH</v>
      </c>
      <c r="K456" s="12" t="str">
        <f>"Industriestrasse 47"</f>
        <v>Industriestrasse 47</v>
      </c>
      <c r="L456" s="12" t="str">
        <f>"CH-6300"</f>
        <v>CH-6300</v>
      </c>
      <c r="M456" s="12" t="str">
        <f>"Zug"</f>
        <v>Zug</v>
      </c>
      <c r="N456" s="12" t="str">
        <f>"CHRN-AR-20000807"</f>
        <v>CHRN-AR-20000807</v>
      </c>
      <c r="O456" s="12" t="str">
        <f>"KT001216"</f>
        <v>KT001216</v>
      </c>
      <c r="P456" s="13" t="str">
        <f>"Mediq Suisse AG"</f>
        <v>Mediq Suisse AG</v>
      </c>
    </row>
    <row r="457" spans="1:16" x14ac:dyDescent="0.15">
      <c r="A457" s="11" t="str">
        <f>"NAR-NT-ET-0601"</f>
        <v>NAR-NT-ET-0601</v>
      </c>
      <c r="B457" s="12" t="str">
        <f>"NARCO NT-PREP Vorbereitungspaste 120g"</f>
        <v>NARCO NT-PREP Vorbereitungspaste 120g</v>
      </c>
      <c r="C457" s="12" t="str">
        <f>"MDR Risikoklasse IIb"</f>
        <v>MDR Risikoklasse IIb</v>
      </c>
      <c r="D457" s="12" t="str">
        <f>"KT007454"</f>
        <v>KT007454</v>
      </c>
      <c r="E457" s="12" t="str">
        <f>"MT Monitor Technik GmbH &amp; Co. KG"</f>
        <v>MT Monitor Technik GmbH &amp; Co. KG</v>
      </c>
      <c r="F457" s="12" t="str">
        <f>"Fuhrberger Strasse 4"</f>
        <v>Fuhrberger Strasse 4</v>
      </c>
      <c r="G457" s="12" t="str">
        <f>"DE-30625"</f>
        <v>DE-30625</v>
      </c>
      <c r="H457" s="12" t="str">
        <f>"Hannover"</f>
        <v>Hannover</v>
      </c>
      <c r="I457" s="12" t="str">
        <f>"KT007056"</f>
        <v>KT007056</v>
      </c>
      <c r="J457" s="12" t="str">
        <f>"Swiss AR Services GmbH"</f>
        <v>Swiss AR Services GmbH</v>
      </c>
      <c r="K457" s="12" t="str">
        <f>"Industriestrasse 47"</f>
        <v>Industriestrasse 47</v>
      </c>
      <c r="L457" s="12" t="str">
        <f>"CH-6300"</f>
        <v>CH-6300</v>
      </c>
      <c r="M457" s="12" t="str">
        <f>"Zug"</f>
        <v>Zug</v>
      </c>
      <c r="N457" s="12" t="str">
        <f>"CHRN-AR-20000807"</f>
        <v>CHRN-AR-20000807</v>
      </c>
      <c r="O457" s="12" t="str">
        <f>"KT001216"</f>
        <v>KT001216</v>
      </c>
      <c r="P457" s="13" t="str">
        <f>"Mediq Suisse AG"</f>
        <v>Mediq Suisse AG</v>
      </c>
    </row>
    <row r="458" spans="1:16" x14ac:dyDescent="0.15">
      <c r="A458" s="11" t="str">
        <f>"NAR-NT-NC-0301"</f>
        <v>NAR-NT-NC-0301</v>
      </c>
      <c r="B458" s="12" t="str">
        <f>"NARCO Trend Patientenkabel 1 Kanal - 3 polig"</f>
        <v>NARCO Trend Patientenkabel 1 Kanal - 3 polig</v>
      </c>
      <c r="C458" s="12" t="str">
        <f>"MDR Risikoklasse IIb"</f>
        <v>MDR Risikoklasse IIb</v>
      </c>
      <c r="D458" s="12" t="str">
        <f>"KT007454"</f>
        <v>KT007454</v>
      </c>
      <c r="E458" s="12" t="str">
        <f>"MT Monitor Technik GmbH &amp; Co. KG"</f>
        <v>MT Monitor Technik GmbH &amp; Co. KG</v>
      </c>
      <c r="F458" s="12" t="str">
        <f>"Fuhrberger Strasse 4"</f>
        <v>Fuhrberger Strasse 4</v>
      </c>
      <c r="G458" s="12" t="str">
        <f>"DE-30625"</f>
        <v>DE-30625</v>
      </c>
      <c r="H458" s="12" t="str">
        <f>"Hannover"</f>
        <v>Hannover</v>
      </c>
      <c r="I458" s="12" t="str">
        <f>"KT007056"</f>
        <v>KT007056</v>
      </c>
      <c r="J458" s="12" t="str">
        <f>"Swiss AR Services GmbH"</f>
        <v>Swiss AR Services GmbH</v>
      </c>
      <c r="K458" s="12" t="str">
        <f>"Industriestrasse 47"</f>
        <v>Industriestrasse 47</v>
      </c>
      <c r="L458" s="12" t="str">
        <f>"CH-6300"</f>
        <v>CH-6300</v>
      </c>
      <c r="M458" s="12" t="str">
        <f>"Zug"</f>
        <v>Zug</v>
      </c>
      <c r="N458" s="12" t="str">
        <f>"CHRN-AR-20000807"</f>
        <v>CHRN-AR-20000807</v>
      </c>
      <c r="O458" s="12" t="str">
        <f>"KT001216"</f>
        <v>KT001216</v>
      </c>
      <c r="P458" s="13" t="str">
        <f>"Mediq Suisse AG"</f>
        <v>Mediq Suisse AG</v>
      </c>
    </row>
    <row r="459" spans="1:16" x14ac:dyDescent="0.15">
      <c r="A459" s="11" t="str">
        <f>"NAR-NT-NC-0302"</f>
        <v>NAR-NT-NC-0302</v>
      </c>
      <c r="B459" s="12" t="str">
        <f>"NARCO Trend Patientenkabel 2 Kanal - 5 polig"</f>
        <v>NARCO Trend Patientenkabel 2 Kanal - 5 polig</v>
      </c>
      <c r="C459" s="12" t="str">
        <f>"MDR Risikoklasse IIb"</f>
        <v>MDR Risikoklasse IIb</v>
      </c>
      <c r="D459" s="12" t="str">
        <f>"KT007454"</f>
        <v>KT007454</v>
      </c>
      <c r="E459" s="12" t="str">
        <f>"MT Monitor Technik GmbH &amp; Co. KG"</f>
        <v>MT Monitor Technik GmbH &amp; Co. KG</v>
      </c>
      <c r="F459" s="12" t="str">
        <f>"Fuhrberger Strasse 4"</f>
        <v>Fuhrberger Strasse 4</v>
      </c>
      <c r="G459" s="12" t="str">
        <f>"DE-30625"</f>
        <v>DE-30625</v>
      </c>
      <c r="H459" s="12" t="str">
        <f>"Hannover"</f>
        <v>Hannover</v>
      </c>
      <c r="I459" s="12" t="str">
        <f>"KT007056"</f>
        <v>KT007056</v>
      </c>
      <c r="J459" s="12" t="str">
        <f>"Swiss AR Services GmbH"</f>
        <v>Swiss AR Services GmbH</v>
      </c>
      <c r="K459" s="12" t="str">
        <f>"Industriestrasse 47"</f>
        <v>Industriestrasse 47</v>
      </c>
      <c r="L459" s="12" t="str">
        <f>"CH-6300"</f>
        <v>CH-6300</v>
      </c>
      <c r="M459" s="12" t="str">
        <f>"Zug"</f>
        <v>Zug</v>
      </c>
      <c r="N459" s="12" t="str">
        <f>"CHRN-AR-20000807"</f>
        <v>CHRN-AR-20000807</v>
      </c>
      <c r="O459" s="12" t="str">
        <f>"KT001216"</f>
        <v>KT001216</v>
      </c>
      <c r="P459" s="13" t="str">
        <f>"Mediq Suisse AG"</f>
        <v>Mediq Suisse AG</v>
      </c>
    </row>
    <row r="460" spans="1:16" x14ac:dyDescent="0.15">
      <c r="A460" s="11" t="str">
        <f>"NAR-NT-NC-0306"</f>
        <v>NAR-NT-NC-0306</v>
      </c>
      <c r="B460" s="12" t="str">
        <f>"NARCO Trend Patientenkabel 2 Kanal - 4 polig"</f>
        <v>NARCO Trend Patientenkabel 2 Kanal - 4 polig</v>
      </c>
      <c r="C460" s="12" t="str">
        <f>"MDR Risikoklasse IIb"</f>
        <v>MDR Risikoklasse IIb</v>
      </c>
      <c r="D460" s="12" t="str">
        <f>"KT007454"</f>
        <v>KT007454</v>
      </c>
      <c r="E460" s="12" t="str">
        <f>"MT Monitor Technik GmbH &amp; Co. KG"</f>
        <v>MT Monitor Technik GmbH &amp; Co. KG</v>
      </c>
      <c r="F460" s="12" t="str">
        <f>"Fuhrberger Strasse 4"</f>
        <v>Fuhrberger Strasse 4</v>
      </c>
      <c r="G460" s="12" t="str">
        <f>"DE-30625"</f>
        <v>DE-30625</v>
      </c>
      <c r="H460" s="12" t="str">
        <f>"Hannover"</f>
        <v>Hannover</v>
      </c>
      <c r="I460" s="12" t="str">
        <f>"KT007056"</f>
        <v>KT007056</v>
      </c>
      <c r="J460" s="12" t="str">
        <f>"Swiss AR Services GmbH"</f>
        <v>Swiss AR Services GmbH</v>
      </c>
      <c r="K460" s="12" t="str">
        <f>"Industriestrasse 47"</f>
        <v>Industriestrasse 47</v>
      </c>
      <c r="L460" s="12" t="str">
        <f>"CH-6300"</f>
        <v>CH-6300</v>
      </c>
      <c r="M460" s="12" t="str">
        <f>"Zug"</f>
        <v>Zug</v>
      </c>
      <c r="N460" s="12" t="str">
        <f>"CHRN-AR-20000807"</f>
        <v>CHRN-AR-20000807</v>
      </c>
      <c r="O460" s="12" t="str">
        <f>"KT001216"</f>
        <v>KT001216</v>
      </c>
      <c r="P460" s="13" t="str">
        <f>"Mediq Suisse AG"</f>
        <v>Mediq Suisse AG</v>
      </c>
    </row>
    <row r="461" spans="1:16" x14ac:dyDescent="0.15">
      <c r="A461" s="11" t="str">
        <f>"NAR-ST-0501"</f>
        <v>NAR-ST-0501</v>
      </c>
      <c r="B461" s="12" t="str">
        <f>"Braintrend Rollstativ mit Korb"</f>
        <v>Braintrend Rollstativ mit Korb</v>
      </c>
      <c r="C461" s="12" t="str">
        <f>"MDR Risikoklasse IIa"</f>
        <v>MDR Risikoklasse IIa</v>
      </c>
      <c r="D461" s="12" t="str">
        <f>"KT007454"</f>
        <v>KT007454</v>
      </c>
      <c r="E461" s="12" t="str">
        <f>"MT Monitor Technik GmbH &amp; Co. KG"</f>
        <v>MT Monitor Technik GmbH &amp; Co. KG</v>
      </c>
      <c r="F461" s="12" t="str">
        <f>"Fuhrberger Strasse 4"</f>
        <v>Fuhrberger Strasse 4</v>
      </c>
      <c r="G461" s="12" t="str">
        <f>"DE-30625"</f>
        <v>DE-30625</v>
      </c>
      <c r="H461" s="12" t="str">
        <f>"Hannover"</f>
        <v>Hannover</v>
      </c>
      <c r="I461" s="12" t="str">
        <f>"KT007056"</f>
        <v>KT007056</v>
      </c>
      <c r="J461" s="12" t="str">
        <f>"Swiss AR Services GmbH"</f>
        <v>Swiss AR Services GmbH</v>
      </c>
      <c r="K461" s="12" t="str">
        <f>"Industriestrasse 47"</f>
        <v>Industriestrasse 47</v>
      </c>
      <c r="L461" s="12" t="str">
        <f>"CH-6300"</f>
        <v>CH-6300</v>
      </c>
      <c r="M461" s="12" t="str">
        <f>"Zug"</f>
        <v>Zug</v>
      </c>
      <c r="N461" s="12" t="str">
        <f>"CHRN-AR-20000807"</f>
        <v>CHRN-AR-20000807</v>
      </c>
      <c r="O461" s="12" t="str">
        <f>"KT001216"</f>
        <v>KT001216</v>
      </c>
      <c r="P461" s="13" t="str">
        <f>"Mediq Suisse AG"</f>
        <v>Mediq Suisse AG</v>
      </c>
    </row>
    <row r="462" spans="1:16" x14ac:dyDescent="0.15">
      <c r="A462" s="11" t="str">
        <f>"NAR-TREND-CM-ICU"</f>
        <v>NAR-TREND-CM-ICU</v>
      </c>
      <c r="B462" s="12" t="str">
        <f>"NARCO Trend Intensivstation Standard"</f>
        <v>NARCO Trend Intensivstation Standard</v>
      </c>
      <c r="C462" s="12" t="str">
        <f>"MDR Risikoklasse IIb"</f>
        <v>MDR Risikoklasse IIb</v>
      </c>
      <c r="D462" s="12" t="str">
        <f>"KT007454"</f>
        <v>KT007454</v>
      </c>
      <c r="E462" s="12" t="str">
        <f>"MT Monitor Technik GmbH &amp; Co. KG"</f>
        <v>MT Monitor Technik GmbH &amp; Co. KG</v>
      </c>
      <c r="F462" s="12" t="str">
        <f>"Fuhrberger Strasse 4"</f>
        <v>Fuhrberger Strasse 4</v>
      </c>
      <c r="G462" s="12" t="str">
        <f>"DE-30625"</f>
        <v>DE-30625</v>
      </c>
      <c r="H462" s="12" t="str">
        <f>"Hannover"</f>
        <v>Hannover</v>
      </c>
      <c r="I462" s="12" t="str">
        <f>"KT007056"</f>
        <v>KT007056</v>
      </c>
      <c r="J462" s="12" t="str">
        <f>"Swiss AR Services GmbH"</f>
        <v>Swiss AR Services GmbH</v>
      </c>
      <c r="K462" s="12" t="str">
        <f>"Industriestrasse 47"</f>
        <v>Industriestrasse 47</v>
      </c>
      <c r="L462" s="12" t="str">
        <f>"CH-6300"</f>
        <v>CH-6300</v>
      </c>
      <c r="M462" s="12" t="str">
        <f>"Zug"</f>
        <v>Zug</v>
      </c>
      <c r="N462" s="12" t="str">
        <f>"CHRN-AR-20000807"</f>
        <v>CHRN-AR-20000807</v>
      </c>
      <c r="O462" s="12" t="str">
        <f>"KT001216"</f>
        <v>KT001216</v>
      </c>
      <c r="P462" s="13" t="str">
        <f>"Mediq Suisse AG"</f>
        <v>Mediq Suisse AG</v>
      </c>
    </row>
    <row r="463" spans="1:16" x14ac:dyDescent="0.15">
      <c r="A463" s="11" t="str">
        <f>"NAR-TREND-CM-ICU-GE"</f>
        <v>NAR-TREND-CM-ICU-GE</v>
      </c>
      <c r="B463" s="12" t="str">
        <f>"NARCO Trend Intensivstation mit GE PDMS Anschluss"</f>
        <v>NARCO Trend Intensivstation mit GE PDMS Anschluss</v>
      </c>
      <c r="C463" s="12" t="str">
        <f>"MDR Risikoklasse IIb"</f>
        <v>MDR Risikoklasse IIb</v>
      </c>
      <c r="D463" s="12" t="str">
        <f>"KT007454"</f>
        <v>KT007454</v>
      </c>
      <c r="E463" s="12" t="str">
        <f>"MT Monitor Technik GmbH &amp; Co. KG"</f>
        <v>MT Monitor Technik GmbH &amp; Co. KG</v>
      </c>
      <c r="F463" s="12" t="str">
        <f>"Fuhrberger Strasse 4"</f>
        <v>Fuhrberger Strasse 4</v>
      </c>
      <c r="G463" s="12" t="str">
        <f>"DE-30625"</f>
        <v>DE-30625</v>
      </c>
      <c r="H463" s="12" t="str">
        <f>"Hannover"</f>
        <v>Hannover</v>
      </c>
      <c r="I463" s="12" t="str">
        <f>"KT007056"</f>
        <v>KT007056</v>
      </c>
      <c r="J463" s="12" t="str">
        <f>"Swiss AR Services GmbH"</f>
        <v>Swiss AR Services GmbH</v>
      </c>
      <c r="K463" s="12" t="str">
        <f>"Industriestrasse 47"</f>
        <v>Industriestrasse 47</v>
      </c>
      <c r="L463" s="12" t="str">
        <f>"CH-6300"</f>
        <v>CH-6300</v>
      </c>
      <c r="M463" s="12" t="str">
        <f>"Zug"</f>
        <v>Zug</v>
      </c>
      <c r="N463" s="12" t="str">
        <f>"CHRN-AR-20000807"</f>
        <v>CHRN-AR-20000807</v>
      </c>
      <c r="O463" s="12" t="str">
        <f>"KT001216"</f>
        <v>KT001216</v>
      </c>
      <c r="P463" s="13" t="str">
        <f>"Mediq Suisse AG"</f>
        <v>Mediq Suisse AG</v>
      </c>
    </row>
    <row r="464" spans="1:16" x14ac:dyDescent="0.15">
      <c r="A464" s="11" t="str">
        <f>"NAR-TREND-CM-ICU-IB"</f>
        <v>NAR-TREND-CM-ICU-IB</v>
      </c>
      <c r="B464" s="12" t="str">
        <f>"NARCO Trend Intensivstation mit Intellibridge"</f>
        <v>NARCO Trend Intensivstation mit Intellibridge</v>
      </c>
      <c r="C464" s="12" t="str">
        <f>"MDR Risikoklasse IIb"</f>
        <v>MDR Risikoklasse IIb</v>
      </c>
      <c r="D464" s="12" t="str">
        <f>"KT007454"</f>
        <v>KT007454</v>
      </c>
      <c r="E464" s="12" t="str">
        <f>"MT Monitor Technik GmbH &amp; Co. KG"</f>
        <v>MT Monitor Technik GmbH &amp; Co. KG</v>
      </c>
      <c r="F464" s="12" t="str">
        <f>"Fuhrberger Strasse 4"</f>
        <v>Fuhrberger Strasse 4</v>
      </c>
      <c r="G464" s="12" t="str">
        <f>"DE-30625"</f>
        <v>DE-30625</v>
      </c>
      <c r="H464" s="12" t="str">
        <f>"Hannover"</f>
        <v>Hannover</v>
      </c>
      <c r="I464" s="12" t="str">
        <f>"KT007056"</f>
        <v>KT007056</v>
      </c>
      <c r="J464" s="12" t="str">
        <f>"Swiss AR Services GmbH"</f>
        <v>Swiss AR Services GmbH</v>
      </c>
      <c r="K464" s="12" t="str">
        <f>"Industriestrasse 47"</f>
        <v>Industriestrasse 47</v>
      </c>
      <c r="L464" s="12" t="str">
        <f>"CH-6300"</f>
        <v>CH-6300</v>
      </c>
      <c r="M464" s="12" t="str">
        <f>"Zug"</f>
        <v>Zug</v>
      </c>
      <c r="N464" s="12" t="str">
        <f>"CHRN-AR-20000807"</f>
        <v>CHRN-AR-20000807</v>
      </c>
      <c r="O464" s="12" t="str">
        <f>"KT001216"</f>
        <v>KT001216</v>
      </c>
      <c r="P464" s="13" t="str">
        <f>"Mediq Suisse AG"</f>
        <v>Mediq Suisse AG</v>
      </c>
    </row>
    <row r="465" spans="1:16" x14ac:dyDescent="0.15">
      <c r="A465" s="11" t="str">
        <f>"NAR-TREND-CM-OP"</f>
        <v>NAR-TREND-CM-OP</v>
      </c>
      <c r="B465" s="12" t="str">
        <f>"NARCO Trend Operationssaal Standard"</f>
        <v>NARCO Trend Operationssaal Standard</v>
      </c>
      <c r="C465" s="12" t="str">
        <f>"MDR Risikoklasse IIb"</f>
        <v>MDR Risikoklasse IIb</v>
      </c>
      <c r="D465" s="12" t="str">
        <f>"KT007454"</f>
        <v>KT007454</v>
      </c>
      <c r="E465" s="12" t="str">
        <f>"MT Monitor Technik GmbH &amp; Co. KG"</f>
        <v>MT Monitor Technik GmbH &amp; Co. KG</v>
      </c>
      <c r="F465" s="12" t="str">
        <f>"Fuhrberger Strasse 4"</f>
        <v>Fuhrberger Strasse 4</v>
      </c>
      <c r="G465" s="12" t="str">
        <f>"DE-30625"</f>
        <v>DE-30625</v>
      </c>
      <c r="H465" s="12" t="str">
        <f>"Hannover"</f>
        <v>Hannover</v>
      </c>
      <c r="I465" s="12" t="str">
        <f>"KT007056"</f>
        <v>KT007056</v>
      </c>
      <c r="J465" s="12" t="str">
        <f>"Swiss AR Services GmbH"</f>
        <v>Swiss AR Services GmbH</v>
      </c>
      <c r="K465" s="12" t="str">
        <f>"Industriestrasse 47"</f>
        <v>Industriestrasse 47</v>
      </c>
      <c r="L465" s="12" t="str">
        <f>"CH-6300"</f>
        <v>CH-6300</v>
      </c>
      <c r="M465" s="12" t="str">
        <f>"Zug"</f>
        <v>Zug</v>
      </c>
      <c r="N465" s="12" t="str">
        <f>"CHRN-AR-20000807"</f>
        <v>CHRN-AR-20000807</v>
      </c>
      <c r="O465" s="12" t="str">
        <f>"KT001216"</f>
        <v>KT001216</v>
      </c>
      <c r="P465" s="13" t="str">
        <f>"Mediq Suisse AG"</f>
        <v>Mediq Suisse AG</v>
      </c>
    </row>
    <row r="466" spans="1:16" x14ac:dyDescent="0.15">
      <c r="A466" s="11" t="str">
        <f>"NAR-TREND-CM-OP-GE"</f>
        <v>NAR-TREND-CM-OP-GE</v>
      </c>
      <c r="B466" s="12" t="str">
        <f>"NARCO Trend Operationssaal mit GE PDMS Anschluss"</f>
        <v>NARCO Trend Operationssaal mit GE PDMS Anschluss</v>
      </c>
      <c r="C466" s="12" t="str">
        <f>"MDR Risikoklasse IIb"</f>
        <v>MDR Risikoklasse IIb</v>
      </c>
      <c r="D466" s="12" t="str">
        <f>"KT007454"</f>
        <v>KT007454</v>
      </c>
      <c r="E466" s="12" t="str">
        <f>"MT Monitor Technik GmbH &amp; Co. KG"</f>
        <v>MT Monitor Technik GmbH &amp; Co. KG</v>
      </c>
      <c r="F466" s="12" t="str">
        <f>"Fuhrberger Strasse 4"</f>
        <v>Fuhrberger Strasse 4</v>
      </c>
      <c r="G466" s="12" t="str">
        <f>"DE-30625"</f>
        <v>DE-30625</v>
      </c>
      <c r="H466" s="12" t="str">
        <f>"Hannover"</f>
        <v>Hannover</v>
      </c>
      <c r="I466" s="12" t="str">
        <f>"KT007056"</f>
        <v>KT007056</v>
      </c>
      <c r="J466" s="12" t="str">
        <f>"Swiss AR Services GmbH"</f>
        <v>Swiss AR Services GmbH</v>
      </c>
      <c r="K466" s="12" t="str">
        <f>"Industriestrasse 47"</f>
        <v>Industriestrasse 47</v>
      </c>
      <c r="L466" s="12" t="str">
        <f>"CH-6300"</f>
        <v>CH-6300</v>
      </c>
      <c r="M466" s="12" t="str">
        <f>"Zug"</f>
        <v>Zug</v>
      </c>
      <c r="N466" s="12" t="str">
        <f>"CHRN-AR-20000807"</f>
        <v>CHRN-AR-20000807</v>
      </c>
      <c r="O466" s="12" t="str">
        <f>"KT001216"</f>
        <v>KT001216</v>
      </c>
      <c r="P466" s="13" t="str">
        <f>"Mediq Suisse AG"</f>
        <v>Mediq Suisse AG</v>
      </c>
    </row>
    <row r="467" spans="1:16" x14ac:dyDescent="0.15">
      <c r="A467" s="11" t="str">
        <f>"NAR-TREND-CM-OP-IB"</f>
        <v>NAR-TREND-CM-OP-IB</v>
      </c>
      <c r="B467" s="12" t="str">
        <f>"NARCO Trend Operationssaal mit Intellibridge"</f>
        <v>NARCO Trend Operationssaal mit Intellibridge</v>
      </c>
      <c r="C467" s="12" t="str">
        <f>"MDR Risikoklasse IIb"</f>
        <v>MDR Risikoklasse IIb</v>
      </c>
      <c r="D467" s="12" t="str">
        <f>"KT007454"</f>
        <v>KT007454</v>
      </c>
      <c r="E467" s="12" t="str">
        <f>"MT Monitor Technik GmbH &amp; Co. KG"</f>
        <v>MT Monitor Technik GmbH &amp; Co. KG</v>
      </c>
      <c r="F467" s="12" t="str">
        <f>"Fuhrberger Strasse 4"</f>
        <v>Fuhrberger Strasse 4</v>
      </c>
      <c r="G467" s="12" t="str">
        <f>"DE-30625"</f>
        <v>DE-30625</v>
      </c>
      <c r="H467" s="12" t="str">
        <f>"Hannover"</f>
        <v>Hannover</v>
      </c>
      <c r="I467" s="12" t="str">
        <f>"KT007056"</f>
        <v>KT007056</v>
      </c>
      <c r="J467" s="12" t="str">
        <f>"Swiss AR Services GmbH"</f>
        <v>Swiss AR Services GmbH</v>
      </c>
      <c r="K467" s="12" t="str">
        <f>"Industriestrasse 47"</f>
        <v>Industriestrasse 47</v>
      </c>
      <c r="L467" s="12" t="str">
        <f>"CH-6300"</f>
        <v>CH-6300</v>
      </c>
      <c r="M467" s="12" t="str">
        <f>"Zug"</f>
        <v>Zug</v>
      </c>
      <c r="N467" s="12" t="str">
        <f>"CHRN-AR-20000807"</f>
        <v>CHRN-AR-20000807</v>
      </c>
      <c r="O467" s="12" t="str">
        <f>"KT001216"</f>
        <v>KT001216</v>
      </c>
      <c r="P467" s="13" t="str">
        <f>"Mediq Suisse AG"</f>
        <v>Mediq Suisse AG</v>
      </c>
    </row>
    <row r="468" spans="1:16" x14ac:dyDescent="0.15">
      <c r="A468" s="11" t="str">
        <f>"OBP-C060110"</f>
        <v>OBP-C060110</v>
      </c>
      <c r="B468" s="12" t="str">
        <f>"Anoscopes Anospec slotted / geschlitzt 96x23mm"</f>
        <v>Anoscopes Anospec slotted / geschlitzt 96x23mm</v>
      </c>
      <c r="C468" s="12" t="str">
        <f>"MDR Risikoklasse I"</f>
        <v>MDR Risikoklasse I</v>
      </c>
      <c r="D468" s="12" t="str">
        <f>"KT005774"</f>
        <v>KT005774</v>
      </c>
      <c r="E468" s="12" t="str">
        <f>"OBP Medical corporation"</f>
        <v>OBP Medical corporation</v>
      </c>
      <c r="F468" s="12" t="str">
        <f>"360 Merrimack Street, Building 9"</f>
        <v>360 Merrimack Street, Building 9</v>
      </c>
      <c r="G468" s="12" t="str">
        <f>"US-1834"</f>
        <v>US-1834</v>
      </c>
      <c r="H468" s="12" t="str">
        <f>"Lawrence, Massachusetts"</f>
        <v>Lawrence, Massachusetts</v>
      </c>
      <c r="I468" s="12" t="str">
        <f>"KT005665"</f>
        <v>KT005665</v>
      </c>
      <c r="J468" s="12" t="str">
        <f>"MedEnvoy Switzerland"</f>
        <v>MedEnvoy Switzerland</v>
      </c>
      <c r="K468" s="12" t="str">
        <f>"Gotthardstrasse 28"</f>
        <v>Gotthardstrasse 28</v>
      </c>
      <c r="L468" s="12" t="str">
        <f>"CH-6302"</f>
        <v>CH-6302</v>
      </c>
      <c r="M468" s="12" t="str">
        <f>"Zug"</f>
        <v>Zug</v>
      </c>
      <c r="N468" s="12" t="str">
        <f>"CHRN-AR-20000310"</f>
        <v>CHRN-AR-20000310</v>
      </c>
      <c r="O468" s="12" t="str">
        <f>"KT001216"</f>
        <v>KT001216</v>
      </c>
      <c r="P468" s="13" t="str">
        <f>"Mediq Suisse AG"</f>
        <v>Mediq Suisse AG</v>
      </c>
    </row>
    <row r="469" spans="1:16" x14ac:dyDescent="0.15">
      <c r="A469" s="11" t="str">
        <f>"OBP-C100110"</f>
        <v>OBP-C100110</v>
      </c>
      <c r="B469" s="12" t="str">
        <f>"Retractors Onetrac 135x30 mm"</f>
        <v>Retractors Onetrac 135x30 mm</v>
      </c>
      <c r="C469" s="12" t="str">
        <f>"MDR Risikoklasse IIa"</f>
        <v>MDR Risikoklasse IIa</v>
      </c>
      <c r="D469" s="12" t="str">
        <f>"KT005774"</f>
        <v>KT005774</v>
      </c>
      <c r="E469" s="12" t="str">
        <f>"OBP Medical corporation"</f>
        <v>OBP Medical corporation</v>
      </c>
      <c r="F469" s="12" t="str">
        <f>"360 Merrimack Street, Building 9"</f>
        <v>360 Merrimack Street, Building 9</v>
      </c>
      <c r="G469" s="12" t="str">
        <f>"US-1834"</f>
        <v>US-1834</v>
      </c>
      <c r="H469" s="12" t="str">
        <f>"Lawrence, Massachusetts"</f>
        <v>Lawrence, Massachusetts</v>
      </c>
      <c r="I469" s="12" t="str">
        <f>"KT005665"</f>
        <v>KT005665</v>
      </c>
      <c r="J469" s="12" t="str">
        <f>"MedEnvoy Switzerland"</f>
        <v>MedEnvoy Switzerland</v>
      </c>
      <c r="K469" s="12" t="str">
        <f>"Gotthardstrasse 28"</f>
        <v>Gotthardstrasse 28</v>
      </c>
      <c r="L469" s="12" t="str">
        <f>"CH-6302"</f>
        <v>CH-6302</v>
      </c>
      <c r="M469" s="12" t="str">
        <f>"Zug"</f>
        <v>Zug</v>
      </c>
      <c r="N469" s="12" t="str">
        <f>"CHRN-AR-20000310"</f>
        <v>CHRN-AR-20000310</v>
      </c>
      <c r="O469" s="12" t="str">
        <f>"KT001216"</f>
        <v>KT001216</v>
      </c>
      <c r="P469" s="13" t="str">
        <f>"Mediq Suisse AG"</f>
        <v>Mediq Suisse AG</v>
      </c>
    </row>
    <row r="470" spans="1:16" x14ac:dyDescent="0.15">
      <c r="A470" s="11" t="str">
        <f>"OBP-C100140"</f>
        <v>OBP-C100140</v>
      </c>
      <c r="B470" s="12" t="str">
        <f>"Retractors Onetrac 90 x 22 mm"</f>
        <v>Retractors Onetrac 90 x 22 mm</v>
      </c>
      <c r="C470" s="12" t="str">
        <f>"MDR Risikoklasse IIa"</f>
        <v>MDR Risikoklasse IIa</v>
      </c>
      <c r="D470" s="12" t="str">
        <f>"KT005774"</f>
        <v>KT005774</v>
      </c>
      <c r="E470" s="12" t="str">
        <f>"OBP Medical corporation"</f>
        <v>OBP Medical corporation</v>
      </c>
      <c r="F470" s="12" t="str">
        <f>"360 Merrimack Street, Building 9"</f>
        <v>360 Merrimack Street, Building 9</v>
      </c>
      <c r="G470" s="12" t="str">
        <f>"US-1834"</f>
        <v>US-1834</v>
      </c>
      <c r="H470" s="12" t="str">
        <f>"Lawrence, Massachusetts"</f>
        <v>Lawrence, Massachusetts</v>
      </c>
      <c r="I470" s="12" t="str">
        <f>"KT005665"</f>
        <v>KT005665</v>
      </c>
      <c r="J470" s="12" t="str">
        <f>"MedEnvoy Switzerland"</f>
        <v>MedEnvoy Switzerland</v>
      </c>
      <c r="K470" s="12" t="str">
        <f>"Gotthardstrasse 28"</f>
        <v>Gotthardstrasse 28</v>
      </c>
      <c r="L470" s="12" t="str">
        <f>"CH-6302"</f>
        <v>CH-6302</v>
      </c>
      <c r="M470" s="12" t="str">
        <f>"Zug"</f>
        <v>Zug</v>
      </c>
      <c r="N470" s="12" t="str">
        <f>"CHRN-AR-20000310"</f>
        <v>CHRN-AR-20000310</v>
      </c>
      <c r="O470" s="12" t="str">
        <f>"KT001216"</f>
        <v>KT001216</v>
      </c>
      <c r="P470" s="13" t="str">
        <f>"Mediq Suisse AG"</f>
        <v>Mediq Suisse AG</v>
      </c>
    </row>
    <row r="471" spans="1:16" x14ac:dyDescent="0.15">
      <c r="A471" s="11" t="str">
        <f>"OBP-C100150"</f>
        <v>OBP-C100150</v>
      </c>
      <c r="B471" s="12" t="str">
        <f>"Retractors Onetrac 40 x 20 mm"</f>
        <v>Retractors Onetrac 40 x 20 mm</v>
      </c>
      <c r="C471" s="12" t="str">
        <f>"MDR Risikoklasse IIa"</f>
        <v>MDR Risikoklasse IIa</v>
      </c>
      <c r="D471" s="12" t="str">
        <f>"KT005774"</f>
        <v>KT005774</v>
      </c>
      <c r="E471" s="12" t="str">
        <f>"OBP Medical corporation"</f>
        <v>OBP Medical corporation</v>
      </c>
      <c r="F471" s="12" t="str">
        <f>"360 Merrimack Street, Building 9"</f>
        <v>360 Merrimack Street, Building 9</v>
      </c>
      <c r="G471" s="12" t="str">
        <f>"US-1834"</f>
        <v>US-1834</v>
      </c>
      <c r="H471" s="12" t="str">
        <f>"Lawrence, Massachusetts"</f>
        <v>Lawrence, Massachusetts</v>
      </c>
      <c r="I471" s="12" t="str">
        <f>"KT005665"</f>
        <v>KT005665</v>
      </c>
      <c r="J471" s="12" t="str">
        <f>"MedEnvoy Switzerland"</f>
        <v>MedEnvoy Switzerland</v>
      </c>
      <c r="K471" s="12" t="str">
        <f>"Gotthardstrasse 28"</f>
        <v>Gotthardstrasse 28</v>
      </c>
      <c r="L471" s="12" t="str">
        <f>"CH-6302"</f>
        <v>CH-6302</v>
      </c>
      <c r="M471" s="12" t="str">
        <f>"Zug"</f>
        <v>Zug</v>
      </c>
      <c r="N471" s="12" t="str">
        <f>"CHRN-AR-20000310"</f>
        <v>CHRN-AR-20000310</v>
      </c>
      <c r="O471" s="12" t="str">
        <f>"KT001216"</f>
        <v>KT001216</v>
      </c>
      <c r="P471" s="13" t="str">
        <f>"Mediq Suisse AG"</f>
        <v>Mediq Suisse AG</v>
      </c>
    </row>
    <row r="472" spans="1:16" x14ac:dyDescent="0.15">
      <c r="A472" s="11" t="str">
        <f>"OBP-C100165"</f>
        <v>OBP-C100165</v>
      </c>
      <c r="B472" s="12" t="str">
        <f>"Retractors Onetrac 135 x 20 mm"</f>
        <v>Retractors Onetrac 135 x 20 mm</v>
      </c>
      <c r="C472" s="12" t="str">
        <f>"MDR Risikoklasse IIa"</f>
        <v>MDR Risikoklasse IIa</v>
      </c>
      <c r="D472" s="12" t="str">
        <f>"KT005774"</f>
        <v>KT005774</v>
      </c>
      <c r="E472" s="12" t="str">
        <f>"OBP Medical corporation"</f>
        <v>OBP Medical corporation</v>
      </c>
      <c r="F472" s="12" t="str">
        <f>"360 Merrimack Street, Building 9"</f>
        <v>360 Merrimack Street, Building 9</v>
      </c>
      <c r="G472" s="12" t="str">
        <f>"US-1834"</f>
        <v>US-1834</v>
      </c>
      <c r="H472" s="12" t="str">
        <f>"Lawrence, Massachusetts"</f>
        <v>Lawrence, Massachusetts</v>
      </c>
      <c r="I472" s="12" t="str">
        <f>"KT005665"</f>
        <v>KT005665</v>
      </c>
      <c r="J472" s="12" t="str">
        <f>"MedEnvoy Switzerland"</f>
        <v>MedEnvoy Switzerland</v>
      </c>
      <c r="K472" s="12" t="str">
        <f>"Gotthardstrasse 28"</f>
        <v>Gotthardstrasse 28</v>
      </c>
      <c r="L472" s="12" t="str">
        <f>"CH-6302"</f>
        <v>CH-6302</v>
      </c>
      <c r="M472" s="12" t="str">
        <f>"Zug"</f>
        <v>Zug</v>
      </c>
      <c r="N472" s="12" t="str">
        <f>"CHRN-AR-20000310"</f>
        <v>CHRN-AR-20000310</v>
      </c>
      <c r="O472" s="12" t="str">
        <f>"KT001216"</f>
        <v>KT001216</v>
      </c>
      <c r="P472" s="13" t="str">
        <f>"Mediq Suisse AG"</f>
        <v>Mediq Suisse AG</v>
      </c>
    </row>
    <row r="473" spans="1:16" x14ac:dyDescent="0.15">
      <c r="A473" s="11" t="str">
        <f>"OBP-C100170"</f>
        <v>OBP-C100170</v>
      </c>
      <c r="B473" s="12" t="str">
        <f>"Retractors Onetrac 55 x 8 mm"</f>
        <v>Retractors Onetrac 55 x 8 mm</v>
      </c>
      <c r="C473" s="12" t="str">
        <f>"MDR Risikoklasse IIa"</f>
        <v>MDR Risikoklasse IIa</v>
      </c>
      <c r="D473" s="12" t="str">
        <f>"KT005774"</f>
        <v>KT005774</v>
      </c>
      <c r="E473" s="12" t="str">
        <f>"OBP Medical corporation"</f>
        <v>OBP Medical corporation</v>
      </c>
      <c r="F473" s="12" t="str">
        <f>"360 Merrimack Street, Building 9"</f>
        <v>360 Merrimack Street, Building 9</v>
      </c>
      <c r="G473" s="12" t="str">
        <f>"US-1834"</f>
        <v>US-1834</v>
      </c>
      <c r="H473" s="12" t="str">
        <f>"Lawrence, Massachusetts"</f>
        <v>Lawrence, Massachusetts</v>
      </c>
      <c r="I473" s="12" t="str">
        <f>"KT005665"</f>
        <v>KT005665</v>
      </c>
      <c r="J473" s="12" t="str">
        <f>"MedEnvoy Switzerland"</f>
        <v>MedEnvoy Switzerland</v>
      </c>
      <c r="K473" s="12" t="str">
        <f>"Gotthardstrasse 28"</f>
        <v>Gotthardstrasse 28</v>
      </c>
      <c r="L473" s="12" t="str">
        <f>"CH-6302"</f>
        <v>CH-6302</v>
      </c>
      <c r="M473" s="12" t="str">
        <f>"Zug"</f>
        <v>Zug</v>
      </c>
      <c r="N473" s="12" t="str">
        <f>"CHRN-AR-20000310"</f>
        <v>CHRN-AR-20000310</v>
      </c>
      <c r="O473" s="12" t="str">
        <f>"KT001216"</f>
        <v>KT001216</v>
      </c>
      <c r="P473" s="13" t="str">
        <f>"Mediq Suisse AG"</f>
        <v>Mediq Suisse AG</v>
      </c>
    </row>
    <row r="474" spans="1:16" x14ac:dyDescent="0.15">
      <c r="A474" s="11" t="str">
        <f>"OBP-C100180"</f>
        <v>OBP-C100180</v>
      </c>
      <c r="B474" s="12" t="str">
        <f>"Retractors Onetrac 105 x 60 mm"</f>
        <v>Retractors Onetrac 105 x 60 mm</v>
      </c>
      <c r="C474" s="12" t="str">
        <f>"MDR Risikoklasse IIa"</f>
        <v>MDR Risikoklasse IIa</v>
      </c>
      <c r="D474" s="12" t="str">
        <f>"KT005774"</f>
        <v>KT005774</v>
      </c>
      <c r="E474" s="12" t="str">
        <f>"OBP Medical corporation"</f>
        <v>OBP Medical corporation</v>
      </c>
      <c r="F474" s="12" t="str">
        <f>"360 Merrimack Street, Building 9"</f>
        <v>360 Merrimack Street, Building 9</v>
      </c>
      <c r="G474" s="12" t="str">
        <f>"US-1834"</f>
        <v>US-1834</v>
      </c>
      <c r="H474" s="12" t="str">
        <f>"Lawrence, Massachusetts"</f>
        <v>Lawrence, Massachusetts</v>
      </c>
      <c r="I474" s="12" t="str">
        <f>"KT005665"</f>
        <v>KT005665</v>
      </c>
      <c r="J474" s="12" t="str">
        <f>"MedEnvoy Switzerland"</f>
        <v>MedEnvoy Switzerland</v>
      </c>
      <c r="K474" s="12" t="str">
        <f>"Gotthardstrasse 28"</f>
        <v>Gotthardstrasse 28</v>
      </c>
      <c r="L474" s="12" t="str">
        <f>"CH-6302"</f>
        <v>CH-6302</v>
      </c>
      <c r="M474" s="12" t="str">
        <f>"Zug"</f>
        <v>Zug</v>
      </c>
      <c r="N474" s="12" t="str">
        <f>"CHRN-AR-20000310"</f>
        <v>CHRN-AR-20000310</v>
      </c>
      <c r="O474" s="12" t="str">
        <f>"KT001216"</f>
        <v>KT001216</v>
      </c>
      <c r="P474" s="13" t="str">
        <f>"Mediq Suisse AG"</f>
        <v>Mediq Suisse AG</v>
      </c>
    </row>
    <row r="475" spans="1:16" x14ac:dyDescent="0.15">
      <c r="A475" s="11" t="str">
        <f>"OBP-C100190"</f>
        <v>OBP-C100190</v>
      </c>
      <c r="B475" s="12" t="str">
        <f>"Retractors Onetrac 175 x 30 mm"</f>
        <v>Retractors Onetrac 175 x 30 mm</v>
      </c>
      <c r="C475" s="12" t="str">
        <f>"MDR Risikoklasse IIa"</f>
        <v>MDR Risikoklasse IIa</v>
      </c>
      <c r="D475" s="12" t="str">
        <f>"KT005774"</f>
        <v>KT005774</v>
      </c>
      <c r="E475" s="12" t="str">
        <f>"OBP Medical corporation"</f>
        <v>OBP Medical corporation</v>
      </c>
      <c r="F475" s="12" t="str">
        <f>"360 Merrimack Street, Building 9"</f>
        <v>360 Merrimack Street, Building 9</v>
      </c>
      <c r="G475" s="12" t="str">
        <f>"US-1834"</f>
        <v>US-1834</v>
      </c>
      <c r="H475" s="12" t="str">
        <f>"Lawrence, Massachusetts"</f>
        <v>Lawrence, Massachusetts</v>
      </c>
      <c r="I475" s="12" t="str">
        <f>"KT005665"</f>
        <v>KT005665</v>
      </c>
      <c r="J475" s="12" t="str">
        <f>"MedEnvoy Switzerland"</f>
        <v>MedEnvoy Switzerland</v>
      </c>
      <c r="K475" s="12" t="str">
        <f>"Gotthardstrasse 28"</f>
        <v>Gotthardstrasse 28</v>
      </c>
      <c r="L475" s="12" t="str">
        <f>"CH-6302"</f>
        <v>CH-6302</v>
      </c>
      <c r="M475" s="12" t="str">
        <f>"Zug"</f>
        <v>Zug</v>
      </c>
      <c r="N475" s="12" t="str">
        <f>"CHRN-AR-20000310"</f>
        <v>CHRN-AR-20000310</v>
      </c>
      <c r="O475" s="12" t="str">
        <f>"KT001216"</f>
        <v>KT001216</v>
      </c>
      <c r="P475" s="13" t="str">
        <f>"Mediq Suisse AG"</f>
        <v>Mediq Suisse AG</v>
      </c>
    </row>
    <row r="476" spans="1:16" x14ac:dyDescent="0.15">
      <c r="A476" s="11" t="str">
        <f>"P10-CL30M-FR"</f>
        <v>P10-CL30M-FR</v>
      </c>
      <c r="B476" s="12" t="str">
        <f>"Careleaves|Wundpflaster|M "</f>
        <v xml:space="preserve">Careleaves|Wundpflaster|M </v>
      </c>
      <c r="C476" s="12" t="str">
        <f>"MDR Risikoklasse Is"</f>
        <v>MDR Risikoklasse Is</v>
      </c>
      <c r="D476" s="12" t="str">
        <f>"KT000098"</f>
        <v>KT000098</v>
      </c>
      <c r="E476" s="12" t="str">
        <f>"Nichiban Co. Ltd."</f>
        <v>Nichiban Co. Ltd.</v>
      </c>
      <c r="F476" s="12" t="str">
        <f>"2-3-3 Sekiguchi"</f>
        <v>2-3-3 Sekiguchi</v>
      </c>
      <c r="G476" s="12" t="str">
        <f>"JP-112-8663"</f>
        <v>JP-112-8663</v>
      </c>
      <c r="H476" s="12" t="str">
        <f>"TOKYO"</f>
        <v>TOKYO</v>
      </c>
      <c r="I476" s="12" t="str">
        <f>"KT005665"</f>
        <v>KT005665</v>
      </c>
      <c r="J476" s="12" t="str">
        <f>"MedEnvoy Switzerland"</f>
        <v>MedEnvoy Switzerland</v>
      </c>
      <c r="K476" s="12" t="str">
        <f>"Gotthardstrasse 28"</f>
        <v>Gotthardstrasse 28</v>
      </c>
      <c r="L476" s="12" t="str">
        <f>"CH-6302"</f>
        <v>CH-6302</v>
      </c>
      <c r="M476" s="12" t="str">
        <f>"Zug"</f>
        <v>Zug</v>
      </c>
      <c r="N476" s="12" t="str">
        <f>"CHRN-AR-20000310"</f>
        <v>CHRN-AR-20000310</v>
      </c>
      <c r="O476" s="12" t="str">
        <f>"KT001216"</f>
        <v>KT001216</v>
      </c>
      <c r="P476" s="13" t="str">
        <f>"Mediq Suisse AG"</f>
        <v>Mediq Suisse AG</v>
      </c>
    </row>
    <row r="477" spans="1:16" x14ac:dyDescent="0.15">
      <c r="A477" s="11" t="str">
        <f>"PLU-0102-170050"</f>
        <v>PLU-0102-170050</v>
      </c>
      <c r="B477" s="12" t="str">
        <f>"PluroGel PMM Mizellen Matrix, 50gr"</f>
        <v>PluroGel PMM Mizellen Matrix, 50gr</v>
      </c>
      <c r="C477" s="12" t="str">
        <f>"MDR Risikoklasse IIa"</f>
        <v>MDR Risikoklasse IIa</v>
      </c>
      <c r="D477" s="12" t="str">
        <f>"KO12590"</f>
        <v>KO12590</v>
      </c>
      <c r="E477" s="12" t="str">
        <f>"PluroGen Therapeutics, LLC"</f>
        <v>PluroGen Therapeutics, LLC</v>
      </c>
      <c r="F477" s="12" t="str">
        <f>"2495 General Armistead Avenue"</f>
        <v>2495 General Armistead Avenue</v>
      </c>
      <c r="G477" s="12" t="str">
        <f>"US-19403"</f>
        <v>US-19403</v>
      </c>
      <c r="H477" s="12" t="str">
        <f>"Norristown, Pennsylvania l"</f>
        <v>Norristown, Pennsylvania l</v>
      </c>
      <c r="I477" s="12" t="str">
        <f>"KT004868"</f>
        <v>KT004868</v>
      </c>
      <c r="J477" s="12" t="str">
        <f>"Medline International Switzerland Sàrl"</f>
        <v>Medline International Switzerland Sàrl</v>
      </c>
      <c r="K477" s="12" t="str">
        <f>"1 Place de Longemalle"</f>
        <v>1 Place de Longemalle</v>
      </c>
      <c r="L477" s="12" t="str">
        <f>"CH-1204"</f>
        <v>CH-1204</v>
      </c>
      <c r="M477" s="12" t="str">
        <f>"Genève"</f>
        <v>Genève</v>
      </c>
      <c r="N477" s="12" t="str">
        <f>"CHRN-AR-20001615"</f>
        <v>CHRN-AR-20001615</v>
      </c>
      <c r="O477" s="12" t="str">
        <f>"KT001216"</f>
        <v>KT001216</v>
      </c>
      <c r="P477" s="13" t="str">
        <f>"Mediq Suisse AG"</f>
        <v>Mediq Suisse AG</v>
      </c>
    </row>
    <row r="478" spans="1:16" x14ac:dyDescent="0.15">
      <c r="A478" s="11" t="str">
        <f>"PLU-0102-170400"</f>
        <v>PLU-0102-170400</v>
      </c>
      <c r="B478" s="12" t="str">
        <f>"PluroGel PMM Mizellen Matrix, 400 gr"</f>
        <v>PluroGel PMM Mizellen Matrix, 400 gr</v>
      </c>
      <c r="C478" s="12" t="str">
        <f>"MDR Risikoklasse IIa"</f>
        <v>MDR Risikoklasse IIa</v>
      </c>
      <c r="D478" s="12" t="str">
        <f>"KO12590"</f>
        <v>KO12590</v>
      </c>
      <c r="E478" s="12" t="str">
        <f>"PluroGen Therapeutics, LLC"</f>
        <v>PluroGen Therapeutics, LLC</v>
      </c>
      <c r="F478" s="12" t="str">
        <f>"2495 General Armistead Avenue"</f>
        <v>2495 General Armistead Avenue</v>
      </c>
      <c r="G478" s="12" t="str">
        <f>"US-19403"</f>
        <v>US-19403</v>
      </c>
      <c r="H478" s="12" t="str">
        <f>"Norristown, Pennsylvania l"</f>
        <v>Norristown, Pennsylvania l</v>
      </c>
      <c r="I478" s="12" t="str">
        <f>"KT004868"</f>
        <v>KT004868</v>
      </c>
      <c r="J478" s="12" t="str">
        <f>"Medline International Switzerland Sàrl"</f>
        <v>Medline International Switzerland Sàrl</v>
      </c>
      <c r="K478" s="12" t="str">
        <f>"1 Place de Longemalle"</f>
        <v>1 Place de Longemalle</v>
      </c>
      <c r="L478" s="12" t="str">
        <f>"CH-1204"</f>
        <v>CH-1204</v>
      </c>
      <c r="M478" s="12" t="str">
        <f>"Genève"</f>
        <v>Genève</v>
      </c>
      <c r="N478" s="12" t="str">
        <f>"CHRN-AR-20001615"</f>
        <v>CHRN-AR-20001615</v>
      </c>
      <c r="O478" s="12" t="str">
        <f>"KT001216"</f>
        <v>KT001216</v>
      </c>
      <c r="P478" s="13" t="str">
        <f>"Mediq Suisse AG"</f>
        <v>Mediq Suisse AG</v>
      </c>
    </row>
    <row r="479" spans="1:16" x14ac:dyDescent="0.15">
      <c r="A479" s="11" t="str">
        <f>"PRO-SEC100 T"</f>
        <v>PRO-SEC100 T</v>
      </c>
      <c r="B479" s="12" t="str">
        <f>"SECCO Stuhldrainage System"</f>
        <v>SECCO Stuhldrainage System</v>
      </c>
      <c r="C479" s="12" t="str">
        <f>"MDR Risikoklasse IIa"</f>
        <v>MDR Risikoklasse IIa</v>
      </c>
      <c r="D479" s="12" t="str">
        <f>"KO11162"</f>
        <v>KO11162</v>
      </c>
      <c r="E479" s="12" t="str">
        <f>"P.J. Dahlhausen &amp; Co. GmbH"</f>
        <v>P.J. Dahlhausen &amp; Co. GmbH</v>
      </c>
      <c r="F479" s="12" t="str">
        <f>"Emil-Hoffmann-Strasse 53"</f>
        <v>Emil-Hoffmann-Strasse 53</v>
      </c>
      <c r="G479" s="12" t="str">
        <f>"DE-50996"</f>
        <v>DE-50996</v>
      </c>
      <c r="H479" s="12" t="str">
        <f>"Köln"</f>
        <v>Köln</v>
      </c>
      <c r="I479" s="12" t="str">
        <f>"KT-000566"</f>
        <v>KT-000566</v>
      </c>
      <c r="J479" s="12" t="str">
        <f>"Cosanum AG"</f>
        <v>Cosanum AG</v>
      </c>
      <c r="K479" s="12" t="str">
        <f>"Brandstrasse 28"</f>
        <v>Brandstrasse 28</v>
      </c>
      <c r="L479" s="12" t="str">
        <f>"CH-8952"</f>
        <v>CH-8952</v>
      </c>
      <c r="M479" s="12" t="str">
        <f>"Schlieren"</f>
        <v>Schlieren</v>
      </c>
      <c r="N479" s="12" t="str">
        <f>"CHRN-AR-20001445"</f>
        <v>CHRN-AR-20001445</v>
      </c>
      <c r="O479" s="12" t="str">
        <f>"KT001216"</f>
        <v>KT001216</v>
      </c>
      <c r="P479" s="13" t="str">
        <f>"Mediq Suisse AG"</f>
        <v>Mediq Suisse AG</v>
      </c>
    </row>
    <row r="480" spans="1:16" x14ac:dyDescent="0.15">
      <c r="A480" s="11" t="str">
        <f>"PRO-SEC200"</f>
        <v>PRO-SEC200</v>
      </c>
      <c r="B480" s="12" t="str">
        <f>"Auffangbeutel zu SECCO (10 Beutel)"</f>
        <v>Auffangbeutel zu SECCO (10 Beutel)</v>
      </c>
      <c r="C480" s="12" t="str">
        <f>"MDR Risikoklasse IIa"</f>
        <v>MDR Risikoklasse IIa</v>
      </c>
      <c r="D480" s="12" t="str">
        <f>"KO11162"</f>
        <v>KO11162</v>
      </c>
      <c r="E480" s="12" t="str">
        <f>"P.J. Dahlhausen &amp; Co. GmbH"</f>
        <v>P.J. Dahlhausen &amp; Co. GmbH</v>
      </c>
      <c r="F480" s="12" t="str">
        <f>"Emil-Hoffmann-Strasse 53"</f>
        <v>Emil-Hoffmann-Strasse 53</v>
      </c>
      <c r="G480" s="12" t="str">
        <f>"DE-50996"</f>
        <v>DE-50996</v>
      </c>
      <c r="H480" s="12" t="str">
        <f>"Köln"</f>
        <v>Köln</v>
      </c>
      <c r="I480" s="12" t="str">
        <f>"KT-000566"</f>
        <v>KT-000566</v>
      </c>
      <c r="J480" s="12" t="str">
        <f>"Cosanum AG"</f>
        <v>Cosanum AG</v>
      </c>
      <c r="K480" s="12" t="str">
        <f>"Brandstrasse 28"</f>
        <v>Brandstrasse 28</v>
      </c>
      <c r="L480" s="12" t="str">
        <f>"CH-8952"</f>
        <v>CH-8952</v>
      </c>
      <c r="M480" s="12" t="str">
        <f>"Schlieren"</f>
        <v>Schlieren</v>
      </c>
      <c r="N480" s="12" t="str">
        <f>"CHRN-AR-20001445"</f>
        <v>CHRN-AR-20001445</v>
      </c>
      <c r="O480" s="12" t="str">
        <f>"KT001216"</f>
        <v>KT001216</v>
      </c>
      <c r="P480" s="13" t="str">
        <f>"Mediq Suisse AG"</f>
        <v>Mediq Suisse AG</v>
      </c>
    </row>
    <row r="481" spans="1:16" x14ac:dyDescent="0.15">
      <c r="A481" s="11" t="str">
        <f>"SCI-03"</f>
        <v>SCI-03</v>
      </c>
      <c r="B481" s="12" t="str">
        <f>"_Einwegschere|spitzstumpf|Stahl rostfrei|steril"</f>
        <v>_Einwegschere|spitzstumpf|Stahl rostfrei|steril</v>
      </c>
      <c r="C481" s="12" t="str">
        <f>"MDR Risikoklasse Is"</f>
        <v>MDR Risikoklasse Is</v>
      </c>
      <c r="D481" s="12" t="str">
        <f>"KT000100"</f>
        <v>KT000100</v>
      </c>
      <c r="E481" s="12" t="str">
        <f>"LCH Medical Products"</f>
        <v>LCH Medical Products</v>
      </c>
      <c r="F481" s="12" t="str">
        <f>"Rue due Thionville"</f>
        <v>Rue due Thionville</v>
      </c>
      <c r="G481" s="12" t="str">
        <f>"FR-FR-75019"</f>
        <v>FR-FR-75019</v>
      </c>
      <c r="H481" s="12" t="str">
        <f>"PARIS"</f>
        <v>PARIS</v>
      </c>
      <c r="I481" s="12" t="str">
        <f>"KT010481"</f>
        <v>KT010481</v>
      </c>
      <c r="J481" s="12" t="str">
        <f>"Oroxus Sàrl"</f>
        <v>Oroxus Sàrl</v>
      </c>
      <c r="K481" s="12" t="str">
        <f>"Route du Rhône 10"</f>
        <v>Route du Rhône 10</v>
      </c>
      <c r="L481" s="12" t="str">
        <f>"CH-1963"</f>
        <v>CH-1963</v>
      </c>
      <c r="M481" s="12" t="str">
        <f>"Vétroz"</f>
        <v>Vétroz</v>
      </c>
      <c r="N481" s="12" t="str">
        <f>"CHRN-AR-20002021"</f>
        <v>CHRN-AR-20002021</v>
      </c>
      <c r="O481" s="12" t="str">
        <f>"KT001216"</f>
        <v>KT001216</v>
      </c>
      <c r="P481" s="13" t="str">
        <f>"Mediq Suisse AG"</f>
        <v>Mediq Suisse AG</v>
      </c>
    </row>
    <row r="482" spans="1:16" x14ac:dyDescent="0.15">
      <c r="A482" s="11" t="str">
        <f>"SEW-7704-001"</f>
        <v>SEW-7704-001</v>
      </c>
      <c r="B482" s="12" t="str">
        <f>"ThermoSens OP-Wärmegerät"</f>
        <v>ThermoSens OP-Wärmegerät</v>
      </c>
      <c r="C482" s="12" t="str">
        <f>"MDR Risikoklasse IIb"</f>
        <v>MDR Risikoklasse IIb</v>
      </c>
      <c r="D482" s="12" t="str">
        <f>"KO15998"</f>
        <v>KO15998</v>
      </c>
      <c r="E482" s="12" t="str">
        <f>"Sewoon Medical Co. LTD."</f>
        <v>Sewoon Medical Co. LTD.</v>
      </c>
      <c r="F482" s="12" t="str">
        <f>"60 Dorim-Gil, Ipjang-Myeon"</f>
        <v>60 Dorim-Gil, Ipjang-Myeon</v>
      </c>
      <c r="G482" s="12" t="str">
        <f>"KR-CHEONAN-SI"</f>
        <v>KR-CHEONAN-SI</v>
      </c>
      <c r="H482" s="12" t="str">
        <f>"Chungcheongnam-Do"</f>
        <v>Chungcheongnam-Do</v>
      </c>
      <c r="I482" s="12" t="str">
        <f>"KT007056"</f>
        <v>KT007056</v>
      </c>
      <c r="J482" s="12" t="str">
        <f>"Swiss AR Services GmbH"</f>
        <v>Swiss AR Services GmbH</v>
      </c>
      <c r="K482" s="12" t="str">
        <f>"Industriestrasse 47"</f>
        <v>Industriestrasse 47</v>
      </c>
      <c r="L482" s="12" t="str">
        <f>"CH-6300"</f>
        <v>CH-6300</v>
      </c>
      <c r="M482" s="12" t="str">
        <f>"Zug"</f>
        <v>Zug</v>
      </c>
      <c r="N482" s="12" t="str">
        <f>"CHRN-AR-20000807"</f>
        <v>CHRN-AR-20000807</v>
      </c>
      <c r="O482" s="12" t="str">
        <f>"KT001216"</f>
        <v>KT001216</v>
      </c>
      <c r="P482" s="13" t="str">
        <f>"Mediq Suisse AG"</f>
        <v>Mediq Suisse AG</v>
      </c>
    </row>
    <row r="483" spans="1:16" x14ac:dyDescent="0.15">
      <c r="A483" s="11" t="str">
        <f>"SEW-7752-001"</f>
        <v>SEW-7752-001</v>
      </c>
      <c r="B483" s="12" t="str">
        <f>"ThermoSens 110-240 Volt Adaptor"</f>
        <v>ThermoSens 110-240 Volt Adaptor</v>
      </c>
      <c r="C483" s="12" t="str">
        <f>"MDR Risikoklasse IIb"</f>
        <v>MDR Risikoklasse IIb</v>
      </c>
      <c r="D483" s="12" t="str">
        <f>"KO15998"</f>
        <v>KO15998</v>
      </c>
      <c r="E483" s="12" t="str">
        <f>"Sewoon Medical Co. LTD."</f>
        <v>Sewoon Medical Co. LTD.</v>
      </c>
      <c r="F483" s="12" t="str">
        <f>"60 Dorim-Gil, Ipjang-Myeon"</f>
        <v>60 Dorim-Gil, Ipjang-Myeon</v>
      </c>
      <c r="G483" s="12" t="str">
        <f>"KR-CHEONAN-SI"</f>
        <v>KR-CHEONAN-SI</v>
      </c>
      <c r="H483" s="12" t="str">
        <f>"Chungcheongnam-Do"</f>
        <v>Chungcheongnam-Do</v>
      </c>
      <c r="I483" s="12" t="str">
        <f>"KT007056"</f>
        <v>KT007056</v>
      </c>
      <c r="J483" s="12" t="str">
        <f>"Swiss AR Services GmbH"</f>
        <v>Swiss AR Services GmbH</v>
      </c>
      <c r="K483" s="12" t="str">
        <f>"Industriestrasse 47"</f>
        <v>Industriestrasse 47</v>
      </c>
      <c r="L483" s="12" t="str">
        <f>"CH-6300"</f>
        <v>CH-6300</v>
      </c>
      <c r="M483" s="12" t="str">
        <f>"Zug"</f>
        <v>Zug</v>
      </c>
      <c r="N483" s="12" t="str">
        <f>"CHRN-AR-20000807"</f>
        <v>CHRN-AR-20000807</v>
      </c>
      <c r="O483" s="12" t="str">
        <f>"KT001216"</f>
        <v>KT001216</v>
      </c>
      <c r="P483" s="13" t="str">
        <f>"Mediq Suisse AG"</f>
        <v>Mediq Suisse AG</v>
      </c>
    </row>
    <row r="484" spans="1:16" x14ac:dyDescent="0.15">
      <c r="A484" s="11" t="str">
        <f>"SEW-7760-001"</f>
        <v>SEW-7760-001</v>
      </c>
      <c r="B484" s="12" t="str">
        <f>"ThermoSens Batterie Wärmegerät"</f>
        <v>ThermoSens Batterie Wärmegerät</v>
      </c>
      <c r="C484" s="12" t="str">
        <f>"MDR Risikoklasse IIb"</f>
        <v>MDR Risikoklasse IIb</v>
      </c>
      <c r="D484" s="12" t="str">
        <f>"KO15998"</f>
        <v>KO15998</v>
      </c>
      <c r="E484" s="12" t="str">
        <f>"Sewoon Medical Co. LTD."</f>
        <v>Sewoon Medical Co. LTD.</v>
      </c>
      <c r="F484" s="12" t="str">
        <f>"60 Dorim-Gil, Ipjang-Myeon"</f>
        <v>60 Dorim-Gil, Ipjang-Myeon</v>
      </c>
      <c r="G484" s="12" t="str">
        <f>"KR-CHEONAN-SI"</f>
        <v>KR-CHEONAN-SI</v>
      </c>
      <c r="H484" s="12" t="str">
        <f>"Chungcheongnam-Do"</f>
        <v>Chungcheongnam-Do</v>
      </c>
      <c r="I484" s="12" t="str">
        <f>"KT007056"</f>
        <v>KT007056</v>
      </c>
      <c r="J484" s="12" t="str">
        <f>"Swiss AR Services GmbH"</f>
        <v>Swiss AR Services GmbH</v>
      </c>
      <c r="K484" s="12" t="str">
        <f>"Industriestrasse 47"</f>
        <v>Industriestrasse 47</v>
      </c>
      <c r="L484" s="12" t="str">
        <f>"CH-6300"</f>
        <v>CH-6300</v>
      </c>
      <c r="M484" s="12" t="str">
        <f>"Zug"</f>
        <v>Zug</v>
      </c>
      <c r="N484" s="12" t="str">
        <f>"CHRN-AR-20000807"</f>
        <v>CHRN-AR-20000807</v>
      </c>
      <c r="O484" s="12" t="str">
        <f>"KT001216"</f>
        <v>KT001216</v>
      </c>
      <c r="P484" s="13" t="str">
        <f>"Mediq Suisse AG"</f>
        <v>Mediq Suisse AG</v>
      </c>
    </row>
    <row r="485" spans="1:16" x14ac:dyDescent="0.15">
      <c r="A485" s="11" t="str">
        <f>"SEW-7770-001"</f>
        <v>SEW-7770-001</v>
      </c>
      <c r="B485" s="12" t="str">
        <f>"ThermoSens Battery Charger"</f>
        <v>ThermoSens Battery Charger</v>
      </c>
      <c r="C485" s="12" t="str">
        <f>"MDR Risikoklasse IIb"</f>
        <v>MDR Risikoklasse IIb</v>
      </c>
      <c r="D485" s="12" t="str">
        <f>"KO15998"</f>
        <v>KO15998</v>
      </c>
      <c r="E485" s="12" t="str">
        <f>"Sewoon Medical Co. LTD."</f>
        <v>Sewoon Medical Co. LTD.</v>
      </c>
      <c r="F485" s="12" t="str">
        <f>"60 Dorim-Gil, Ipjang-Myeon"</f>
        <v>60 Dorim-Gil, Ipjang-Myeon</v>
      </c>
      <c r="G485" s="12" t="str">
        <f>"KR-CHEONAN-SI"</f>
        <v>KR-CHEONAN-SI</v>
      </c>
      <c r="H485" s="12" t="str">
        <f>"Chungcheongnam-Do"</f>
        <v>Chungcheongnam-Do</v>
      </c>
      <c r="I485" s="12" t="str">
        <f>"KT007056"</f>
        <v>KT007056</v>
      </c>
      <c r="J485" s="12" t="str">
        <f>"Swiss AR Services GmbH"</f>
        <v>Swiss AR Services GmbH</v>
      </c>
      <c r="K485" s="12" t="str">
        <f>"Industriestrasse 47"</f>
        <v>Industriestrasse 47</v>
      </c>
      <c r="L485" s="12" t="str">
        <f>"CH-6300"</f>
        <v>CH-6300</v>
      </c>
      <c r="M485" s="12" t="str">
        <f>"Zug"</f>
        <v>Zug</v>
      </c>
      <c r="N485" s="12" t="str">
        <f>"CHRN-AR-20000807"</f>
        <v>CHRN-AR-20000807</v>
      </c>
      <c r="O485" s="12" t="str">
        <f>"KT001216"</f>
        <v>KT001216</v>
      </c>
      <c r="P485" s="13" t="str">
        <f>"Mediq Suisse AG"</f>
        <v>Mediq Suisse AG</v>
      </c>
    </row>
    <row r="486" spans="1:16" x14ac:dyDescent="0.15">
      <c r="A486" s="11" t="str">
        <f>"SEW-8103-001"</f>
        <v>SEW-8103-001</v>
      </c>
      <c r="B486" s="12" t="str">
        <f>"ThermoSens Wärme Set mit Entlüftung 200mm"</f>
        <v>ThermoSens Wärme Set mit Entlüftung 200mm</v>
      </c>
      <c r="C486" s="12" t="str">
        <f>"MDR Risikoklasse IIa"</f>
        <v>MDR Risikoklasse IIa</v>
      </c>
      <c r="D486" s="12" t="str">
        <f>"KO15998"</f>
        <v>KO15998</v>
      </c>
      <c r="E486" s="12" t="str">
        <f>"Sewoon Medical Co. LTD."</f>
        <v>Sewoon Medical Co. LTD.</v>
      </c>
      <c r="F486" s="12" t="str">
        <f>"60 Dorim-Gil, Ipjang-Myeon"</f>
        <v>60 Dorim-Gil, Ipjang-Myeon</v>
      </c>
      <c r="G486" s="12" t="str">
        <f>"KR-CHEONAN-SI"</f>
        <v>KR-CHEONAN-SI</v>
      </c>
      <c r="H486" s="12" t="str">
        <f>"Chungcheongnam-Do"</f>
        <v>Chungcheongnam-Do</v>
      </c>
      <c r="I486" s="12" t="str">
        <f>"KT007056"</f>
        <v>KT007056</v>
      </c>
      <c r="J486" s="12" t="str">
        <f>"Swiss AR Services GmbH"</f>
        <v>Swiss AR Services GmbH</v>
      </c>
      <c r="K486" s="12" t="str">
        <f>"Industriestrasse 47"</f>
        <v>Industriestrasse 47</v>
      </c>
      <c r="L486" s="12" t="str">
        <f>"CH-6300"</f>
        <v>CH-6300</v>
      </c>
      <c r="M486" s="12" t="str">
        <f>"Zug"</f>
        <v>Zug</v>
      </c>
      <c r="N486" s="12" t="str">
        <f>"CHRN-AR-20000807"</f>
        <v>CHRN-AR-20000807</v>
      </c>
      <c r="O486" s="12" t="str">
        <f>"KT001216"</f>
        <v>KT001216</v>
      </c>
      <c r="P486" s="13" t="str">
        <f>"Mediq Suisse AG"</f>
        <v>Mediq Suisse AG</v>
      </c>
    </row>
    <row r="487" spans="1:16" x14ac:dyDescent="0.15">
      <c r="A487" s="11" t="str">
        <f>"SEW-8103-002"</f>
        <v>SEW-8103-002</v>
      </c>
      <c r="B487" s="12" t="str">
        <f>"ThermoSens Wärme Set mit Entlüftung 500mm"</f>
        <v>ThermoSens Wärme Set mit Entlüftung 500mm</v>
      </c>
      <c r="C487" s="12" t="str">
        <f>"MDR Risikoklasse IIa"</f>
        <v>MDR Risikoklasse IIa</v>
      </c>
      <c r="D487" s="12" t="str">
        <f>"KO15998"</f>
        <v>KO15998</v>
      </c>
      <c r="E487" s="12" t="str">
        <f>"Sewoon Medical Co. LTD."</f>
        <v>Sewoon Medical Co. LTD.</v>
      </c>
      <c r="F487" s="12" t="str">
        <f>"60 Dorim-Gil, Ipjang-Myeon"</f>
        <v>60 Dorim-Gil, Ipjang-Myeon</v>
      </c>
      <c r="G487" s="12" t="str">
        <f>"KR-CHEONAN-SI"</f>
        <v>KR-CHEONAN-SI</v>
      </c>
      <c r="H487" s="12" t="str">
        <f>"Chungcheongnam-Do"</f>
        <v>Chungcheongnam-Do</v>
      </c>
      <c r="I487" s="12" t="str">
        <f>"KT007056"</f>
        <v>KT007056</v>
      </c>
      <c r="J487" s="12" t="str">
        <f>"Swiss AR Services GmbH"</f>
        <v>Swiss AR Services GmbH</v>
      </c>
      <c r="K487" s="12" t="str">
        <f>"Industriestrasse 47"</f>
        <v>Industriestrasse 47</v>
      </c>
      <c r="L487" s="12" t="str">
        <f>"CH-6300"</f>
        <v>CH-6300</v>
      </c>
      <c r="M487" s="12" t="str">
        <f>"Zug"</f>
        <v>Zug</v>
      </c>
      <c r="N487" s="12" t="str">
        <f>"CHRN-AR-20000807"</f>
        <v>CHRN-AR-20000807</v>
      </c>
      <c r="O487" s="12" t="str">
        <f>"KT001216"</f>
        <v>KT001216</v>
      </c>
      <c r="P487" s="13" t="str">
        <f>"Mediq Suisse AG"</f>
        <v>Mediq Suisse AG</v>
      </c>
    </row>
    <row r="488" spans="1:16" x14ac:dyDescent="0.15">
      <c r="A488" s="11" t="str">
        <f>"STL-VAP-ERW-CM"</f>
        <v>STL-VAP-ERW-CM</v>
      </c>
      <c r="B488" s="12" t="str">
        <f>"Vapotherm Erwachsene CM"</f>
        <v>Vapotherm Erwachsene CM</v>
      </c>
      <c r="C488" s="12" t="str">
        <f>"MDR Risikoklasse IIa"</f>
        <v>MDR Risikoklasse IIa</v>
      </c>
      <c r="D488" s="12" t="str">
        <f>"KO12883"</f>
        <v>KO12883</v>
      </c>
      <c r="E488" s="12" t="str">
        <f>"Vapotherm Inc."</f>
        <v>Vapotherm Inc.</v>
      </c>
      <c r="F488" s="12" t="str">
        <f>"100 Domain Drive"</f>
        <v>100 Domain Drive</v>
      </c>
      <c r="G488" s="12" t="str">
        <f>"US-NH 03833"</f>
        <v>US-NH 03833</v>
      </c>
      <c r="H488" s="12" t="str">
        <f>"Exeter"</f>
        <v>Exeter</v>
      </c>
      <c r="I488" s="12" t="str">
        <f>"KT005674"</f>
        <v>KT005674</v>
      </c>
      <c r="J488" s="12" t="str">
        <f>"AJW Technology Consulting GmbH"</f>
        <v>AJW Technology Consulting GmbH</v>
      </c>
      <c r="K488" s="12" t="str">
        <f>"Kreuzplatz 2"</f>
        <v>Kreuzplatz 2</v>
      </c>
      <c r="L488" s="12" t="str">
        <f>"CH-8032"</f>
        <v>CH-8032</v>
      </c>
      <c r="M488" s="12" t="str">
        <f>"Zürich"</f>
        <v>Zürich</v>
      </c>
      <c r="N488" s="12" t="str">
        <f>"CHRN-AR-20001796"</f>
        <v>CHRN-AR-20001796</v>
      </c>
      <c r="O488" s="12" t="str">
        <f>"KT001216"</f>
        <v>KT001216</v>
      </c>
      <c r="P488" s="13" t="str">
        <f>"Mediq Suisse AG"</f>
        <v>Mediq Suisse AG</v>
      </c>
    </row>
    <row r="489" spans="1:16" x14ac:dyDescent="0.15">
      <c r="A489" s="11" t="str">
        <f>"STL-VAP-ERW-DIN"</f>
        <v>STL-VAP-ERW-DIN</v>
      </c>
      <c r="B489" s="12" t="str">
        <f>"Vapotherm Erwachsene DIN"</f>
        <v>Vapotherm Erwachsene DIN</v>
      </c>
      <c r="C489" s="12" t="str">
        <f>"MDR Risikoklasse IIa"</f>
        <v>MDR Risikoklasse IIa</v>
      </c>
      <c r="D489" s="12" t="str">
        <f>"KO12883"</f>
        <v>KO12883</v>
      </c>
      <c r="E489" s="12" t="str">
        <f>"Vapotherm Inc."</f>
        <v>Vapotherm Inc.</v>
      </c>
      <c r="F489" s="12" t="str">
        <f>"100 Domain Drive"</f>
        <v>100 Domain Drive</v>
      </c>
      <c r="G489" s="12" t="str">
        <f>"US-NH 03833"</f>
        <v>US-NH 03833</v>
      </c>
      <c r="H489" s="12" t="str">
        <f>"Exeter"</f>
        <v>Exeter</v>
      </c>
      <c r="I489" s="12" t="str">
        <f>"KT005674"</f>
        <v>KT005674</v>
      </c>
      <c r="J489" s="12" t="str">
        <f>"AJW Technology Consulting GmbH"</f>
        <v>AJW Technology Consulting GmbH</v>
      </c>
      <c r="K489" s="12" t="str">
        <f>"Kreuzplatz 2"</f>
        <v>Kreuzplatz 2</v>
      </c>
      <c r="L489" s="12" t="str">
        <f>"CH-8032"</f>
        <v>CH-8032</v>
      </c>
      <c r="M489" s="12" t="str">
        <f>"Zürich"</f>
        <v>Zürich</v>
      </c>
      <c r="N489" s="12" t="str">
        <f>"CHRN-AR-20001796"</f>
        <v>CHRN-AR-20001796</v>
      </c>
      <c r="O489" s="12" t="str">
        <f>"KT001216"</f>
        <v>KT001216</v>
      </c>
      <c r="P489" s="13" t="str">
        <f>"Mediq Suisse AG"</f>
        <v>Mediq Suisse AG</v>
      </c>
    </row>
    <row r="490" spans="1:16" x14ac:dyDescent="0.15">
      <c r="A490" s="11" t="str">
        <f>"STL-VAP-ERW-G-NIST"</f>
        <v>STL-VAP-ERW-G-NIST</v>
      </c>
      <c r="B490" s="12" t="str">
        <f>"Vapotherm Erwachsene G-Nist"</f>
        <v>Vapotherm Erwachsene G-Nist</v>
      </c>
      <c r="C490" s="12" t="str">
        <f>"MDR Risikoklasse IIa"</f>
        <v>MDR Risikoklasse IIa</v>
      </c>
      <c r="D490" s="12" t="str">
        <f>"KO12883"</f>
        <v>KO12883</v>
      </c>
      <c r="E490" s="12" t="str">
        <f>"Vapotherm Inc."</f>
        <v>Vapotherm Inc.</v>
      </c>
      <c r="F490" s="12" t="str">
        <f>"100 Domain Drive"</f>
        <v>100 Domain Drive</v>
      </c>
      <c r="G490" s="12" t="str">
        <f>"US-NH 03833"</f>
        <v>US-NH 03833</v>
      </c>
      <c r="H490" s="12" t="str">
        <f>"Exeter"</f>
        <v>Exeter</v>
      </c>
      <c r="I490" s="12" t="str">
        <f>"KT005674"</f>
        <v>KT005674</v>
      </c>
      <c r="J490" s="12" t="str">
        <f>"AJW Technology Consulting GmbH"</f>
        <v>AJW Technology Consulting GmbH</v>
      </c>
      <c r="K490" s="12" t="str">
        <f>"Kreuzplatz 2"</f>
        <v>Kreuzplatz 2</v>
      </c>
      <c r="L490" s="12" t="str">
        <f>"CH-8032"</f>
        <v>CH-8032</v>
      </c>
      <c r="M490" s="12" t="str">
        <f>"Zürich"</f>
        <v>Zürich</v>
      </c>
      <c r="N490" s="12" t="str">
        <f>"CHRN-AR-20001796"</f>
        <v>CHRN-AR-20001796</v>
      </c>
      <c r="O490" s="12" t="str">
        <f>"KT001216"</f>
        <v>KT001216</v>
      </c>
      <c r="P490" s="13" t="str">
        <f>"Mediq Suisse AG"</f>
        <v>Mediq Suisse AG</v>
      </c>
    </row>
    <row r="491" spans="1:16" x14ac:dyDescent="0.15">
      <c r="A491" s="11" t="str">
        <f>"STL-VAP-MED-TECH"</f>
        <v>STL-VAP-MED-TECH</v>
      </c>
      <c r="B491" s="12" t="str">
        <f>"Vapotherm Ersatzteile Medizintechnik"</f>
        <v>Vapotherm Ersatzteile Medizintechnik</v>
      </c>
      <c r="C491" s="12" t="str">
        <f>"MDR Risikoklasse IIb"</f>
        <v>MDR Risikoklasse IIb</v>
      </c>
      <c r="D491" s="12" t="str">
        <f>"KO12883"</f>
        <v>KO12883</v>
      </c>
      <c r="E491" s="12" t="str">
        <f>"Vapotherm Inc."</f>
        <v>Vapotherm Inc.</v>
      </c>
      <c r="F491" s="12" t="str">
        <f>"100 Domain Drive"</f>
        <v>100 Domain Drive</v>
      </c>
      <c r="G491" s="12" t="str">
        <f>"US-NH 03833"</f>
        <v>US-NH 03833</v>
      </c>
      <c r="H491" s="12" t="str">
        <f>"Exeter"</f>
        <v>Exeter</v>
      </c>
      <c r="I491" s="12" t="str">
        <f>"KT005674"</f>
        <v>KT005674</v>
      </c>
      <c r="J491" s="12" t="str">
        <f>"AJW Technology Consulting GmbH"</f>
        <v>AJW Technology Consulting GmbH</v>
      </c>
      <c r="K491" s="12" t="str">
        <f>"Kreuzplatz 2"</f>
        <v>Kreuzplatz 2</v>
      </c>
      <c r="L491" s="12" t="str">
        <f>"CH-8032"</f>
        <v>CH-8032</v>
      </c>
      <c r="M491" s="12" t="str">
        <f>"Zürich"</f>
        <v>Zürich</v>
      </c>
      <c r="N491" s="12" t="str">
        <f>"CHRN-AR-20001796"</f>
        <v>CHRN-AR-20001796</v>
      </c>
      <c r="O491" s="12" t="str">
        <f>"KT001216"</f>
        <v>KT001216</v>
      </c>
      <c r="P491" s="13" t="str">
        <f>"Mediq Suisse AG"</f>
        <v>Mediq Suisse AG</v>
      </c>
    </row>
    <row r="492" spans="1:16" x14ac:dyDescent="0.15">
      <c r="A492" s="11" t="str">
        <f>"STL-VAP-NEO-CM"</f>
        <v>STL-VAP-NEO-CM</v>
      </c>
      <c r="B492" s="12" t="str">
        <f>"Vapotherm Neonatologie CM"</f>
        <v>Vapotherm Neonatologie CM</v>
      </c>
      <c r="C492" s="12" t="str">
        <f>"MDR Risikoklasse IIa"</f>
        <v>MDR Risikoklasse IIa</v>
      </c>
      <c r="D492" s="12" t="str">
        <f>"KO12883"</f>
        <v>KO12883</v>
      </c>
      <c r="E492" s="12" t="str">
        <f>"Vapotherm Inc."</f>
        <v>Vapotherm Inc.</v>
      </c>
      <c r="F492" s="12" t="str">
        <f>"100 Domain Drive"</f>
        <v>100 Domain Drive</v>
      </c>
      <c r="G492" s="12" t="str">
        <f>"US-NH 03833"</f>
        <v>US-NH 03833</v>
      </c>
      <c r="H492" s="12" t="str">
        <f>"Exeter"</f>
        <v>Exeter</v>
      </c>
      <c r="I492" s="12" t="str">
        <f>"KT005674"</f>
        <v>KT005674</v>
      </c>
      <c r="J492" s="12" t="str">
        <f>"AJW Technology Consulting GmbH"</f>
        <v>AJW Technology Consulting GmbH</v>
      </c>
      <c r="K492" s="12" t="str">
        <f>"Kreuzplatz 2"</f>
        <v>Kreuzplatz 2</v>
      </c>
      <c r="L492" s="12" t="str">
        <f>"CH-8032"</f>
        <v>CH-8032</v>
      </c>
      <c r="M492" s="12" t="str">
        <f>"Zürich"</f>
        <v>Zürich</v>
      </c>
      <c r="N492" s="12" t="str">
        <f>"CHRN-AR-20001796"</f>
        <v>CHRN-AR-20001796</v>
      </c>
      <c r="O492" s="12" t="str">
        <f>"KT001216"</f>
        <v>KT001216</v>
      </c>
      <c r="P492" s="13" t="str">
        <f>"Mediq Suisse AG"</f>
        <v>Mediq Suisse AG</v>
      </c>
    </row>
    <row r="493" spans="1:16" x14ac:dyDescent="0.15">
      <c r="A493" s="11" t="str">
        <f>"STL-VAP-NEO-DIN"</f>
        <v>STL-VAP-NEO-DIN</v>
      </c>
      <c r="B493" s="12" t="str">
        <f>"Vapotherm Neonatologie DIN"</f>
        <v>Vapotherm Neonatologie DIN</v>
      </c>
      <c r="C493" s="12" t="str">
        <f>"MDR Risikoklasse IIa"</f>
        <v>MDR Risikoklasse IIa</v>
      </c>
      <c r="D493" s="12" t="str">
        <f>"KO12883"</f>
        <v>KO12883</v>
      </c>
      <c r="E493" s="12" t="str">
        <f>"Vapotherm Inc."</f>
        <v>Vapotherm Inc.</v>
      </c>
      <c r="F493" s="12" t="str">
        <f>"100 Domain Drive"</f>
        <v>100 Domain Drive</v>
      </c>
      <c r="G493" s="12" t="str">
        <f>"US-NH 03833"</f>
        <v>US-NH 03833</v>
      </c>
      <c r="H493" s="12" t="str">
        <f>"Exeter"</f>
        <v>Exeter</v>
      </c>
      <c r="I493" s="12" t="str">
        <f>"KT005674"</f>
        <v>KT005674</v>
      </c>
      <c r="J493" s="12" t="str">
        <f>"AJW Technology Consulting GmbH"</f>
        <v>AJW Technology Consulting GmbH</v>
      </c>
      <c r="K493" s="12" t="str">
        <f>"Kreuzplatz 2"</f>
        <v>Kreuzplatz 2</v>
      </c>
      <c r="L493" s="12" t="str">
        <f>"CH-8032"</f>
        <v>CH-8032</v>
      </c>
      <c r="M493" s="12" t="str">
        <f>"Zürich"</f>
        <v>Zürich</v>
      </c>
      <c r="N493" s="12" t="str">
        <f>"CHRN-AR-20001796"</f>
        <v>CHRN-AR-20001796</v>
      </c>
      <c r="O493" s="12" t="str">
        <f>"KT001216"</f>
        <v>KT001216</v>
      </c>
      <c r="P493" s="13" t="str">
        <f>"Mediq Suisse AG"</f>
        <v>Mediq Suisse AG</v>
      </c>
    </row>
    <row r="494" spans="1:16" x14ac:dyDescent="0.15">
      <c r="A494" s="11" t="str">
        <f>"STL-VAP-NEO-G-NIST"</f>
        <v>STL-VAP-NEO-G-NIST</v>
      </c>
      <c r="B494" s="12" t="str">
        <f>"Vapotherm Neonatologie G-Nist"</f>
        <v>Vapotherm Neonatologie G-Nist</v>
      </c>
      <c r="C494" s="12" t="str">
        <f>"MDR Risikoklasse IIa"</f>
        <v>MDR Risikoklasse IIa</v>
      </c>
      <c r="D494" s="12" t="str">
        <f>"KO12883"</f>
        <v>KO12883</v>
      </c>
      <c r="E494" s="12" t="str">
        <f>"Vapotherm Inc."</f>
        <v>Vapotherm Inc.</v>
      </c>
      <c r="F494" s="12" t="str">
        <f>"100 Domain Drive"</f>
        <v>100 Domain Drive</v>
      </c>
      <c r="G494" s="12" t="str">
        <f>"US-NH 03833"</f>
        <v>US-NH 03833</v>
      </c>
      <c r="H494" s="12" t="str">
        <f>"Exeter"</f>
        <v>Exeter</v>
      </c>
      <c r="I494" s="12" t="str">
        <f>"KT005674"</f>
        <v>KT005674</v>
      </c>
      <c r="J494" s="12" t="str">
        <f>"AJW Technology Consulting GmbH"</f>
        <v>AJW Technology Consulting GmbH</v>
      </c>
      <c r="K494" s="12" t="str">
        <f>"Kreuzplatz 2"</f>
        <v>Kreuzplatz 2</v>
      </c>
      <c r="L494" s="12" t="str">
        <f>"CH-8032"</f>
        <v>CH-8032</v>
      </c>
      <c r="M494" s="12" t="str">
        <f>"Zürich"</f>
        <v>Zürich</v>
      </c>
      <c r="N494" s="12" t="str">
        <f>"CHRN-AR-20001796"</f>
        <v>CHRN-AR-20001796</v>
      </c>
      <c r="O494" s="12" t="str">
        <f>"KT001216"</f>
        <v>KT001216</v>
      </c>
      <c r="P494" s="13" t="str">
        <f>"Mediq Suisse AG"</f>
        <v>Mediq Suisse AG</v>
      </c>
    </row>
    <row r="495" spans="1:16" x14ac:dyDescent="0.15">
      <c r="A495" s="11" t="str">
        <f>"STL-VAP-OAM-MAS"</f>
        <v>STL-VAP-OAM-MAS</v>
      </c>
      <c r="B495" s="12" t="str">
        <f>"Vapotherm OAM Masimo"</f>
        <v>Vapotherm OAM Masimo</v>
      </c>
      <c r="C495" s="12" t="str">
        <f>"MDR Risikoklasse IIb"</f>
        <v>MDR Risikoklasse IIb</v>
      </c>
      <c r="D495" s="12" t="str">
        <f>"KO12883"</f>
        <v>KO12883</v>
      </c>
      <c r="E495" s="12" t="str">
        <f>"Vapotherm Inc."</f>
        <v>Vapotherm Inc.</v>
      </c>
      <c r="F495" s="12" t="str">
        <f>"100 Domain Drive"</f>
        <v>100 Domain Drive</v>
      </c>
      <c r="G495" s="12" t="str">
        <f>"US-NH 03833"</f>
        <v>US-NH 03833</v>
      </c>
      <c r="H495" s="12" t="str">
        <f>"Exeter"</f>
        <v>Exeter</v>
      </c>
      <c r="I495" s="12" t="str">
        <f>"KT005674"</f>
        <v>KT005674</v>
      </c>
      <c r="J495" s="12" t="str">
        <f>"AJW Technology Consulting GmbH"</f>
        <v>AJW Technology Consulting GmbH</v>
      </c>
      <c r="K495" s="12" t="str">
        <f>"Kreuzplatz 2"</f>
        <v>Kreuzplatz 2</v>
      </c>
      <c r="L495" s="12" t="str">
        <f>"CH-8032"</f>
        <v>CH-8032</v>
      </c>
      <c r="M495" s="12" t="str">
        <f>"Zürich"</f>
        <v>Zürich</v>
      </c>
      <c r="N495" s="12" t="str">
        <f>"CHRN-AR-20001796"</f>
        <v>CHRN-AR-20001796</v>
      </c>
      <c r="O495" s="12" t="str">
        <f>"KT001216"</f>
        <v>KT001216</v>
      </c>
      <c r="P495" s="13" t="str">
        <f>"Mediq Suisse AG"</f>
        <v>Mediq Suisse AG</v>
      </c>
    </row>
    <row r="496" spans="1:16" x14ac:dyDescent="0.15">
      <c r="A496" s="11" t="str">
        <f>"STL-VAP-OAM-NEL"</f>
        <v>STL-VAP-OAM-NEL</v>
      </c>
      <c r="B496" s="12" t="str">
        <f>"Vapotherm OAM NEL"</f>
        <v>Vapotherm OAM NEL</v>
      </c>
      <c r="C496" s="12" t="str">
        <f>"MDR Risikoklasse IIb"</f>
        <v>MDR Risikoklasse IIb</v>
      </c>
      <c r="D496" s="12" t="str">
        <f>"KO12883"</f>
        <v>KO12883</v>
      </c>
      <c r="E496" s="12" t="str">
        <f>"Vapotherm Inc."</f>
        <v>Vapotherm Inc.</v>
      </c>
      <c r="F496" s="12" t="str">
        <f>"100 Domain Drive"</f>
        <v>100 Domain Drive</v>
      </c>
      <c r="G496" s="12" t="str">
        <f>"US-NH 03833"</f>
        <v>US-NH 03833</v>
      </c>
      <c r="H496" s="12" t="str">
        <f>"Exeter"</f>
        <v>Exeter</v>
      </c>
      <c r="I496" s="12" t="str">
        <f>"KT005674"</f>
        <v>KT005674</v>
      </c>
      <c r="J496" s="12" t="str">
        <f>"AJW Technology Consulting GmbH"</f>
        <v>AJW Technology Consulting GmbH</v>
      </c>
      <c r="K496" s="12" t="str">
        <f>"Kreuzplatz 2"</f>
        <v>Kreuzplatz 2</v>
      </c>
      <c r="L496" s="12" t="str">
        <f>"CH-8032"</f>
        <v>CH-8032</v>
      </c>
      <c r="M496" s="12" t="str">
        <f>"Zürich"</f>
        <v>Zürich</v>
      </c>
      <c r="N496" s="12" t="str">
        <f>"CHRN-AR-20001796"</f>
        <v>CHRN-AR-20001796</v>
      </c>
      <c r="O496" s="12" t="str">
        <f>"KT001216"</f>
        <v>KT001216</v>
      </c>
      <c r="P496" s="13" t="str">
        <f>"Mediq Suisse AG"</f>
        <v>Mediq Suisse AG</v>
      </c>
    </row>
    <row r="497" spans="1:16" x14ac:dyDescent="0.15">
      <c r="A497" s="11" t="str">
        <f>"STL-VAP-VTU-CM"</f>
        <v>STL-VAP-VTU-CM</v>
      </c>
      <c r="B497" s="12" t="str">
        <f>"Vapotherm Transporteinheit CM"</f>
        <v>Vapotherm Transporteinheit CM</v>
      </c>
      <c r="C497" s="12" t="str">
        <f>"MDR Risikoklasse IIa"</f>
        <v>MDR Risikoklasse IIa</v>
      </c>
      <c r="D497" s="12" t="str">
        <f>"KO12883"</f>
        <v>KO12883</v>
      </c>
      <c r="E497" s="12" t="str">
        <f>"Vapotherm Inc."</f>
        <v>Vapotherm Inc.</v>
      </c>
      <c r="F497" s="12" t="str">
        <f>"100 Domain Drive"</f>
        <v>100 Domain Drive</v>
      </c>
      <c r="G497" s="12" t="str">
        <f>"US-NH 03833"</f>
        <v>US-NH 03833</v>
      </c>
      <c r="H497" s="12" t="str">
        <f>"Exeter"</f>
        <v>Exeter</v>
      </c>
      <c r="I497" s="12" t="str">
        <f>"KT005674"</f>
        <v>KT005674</v>
      </c>
      <c r="J497" s="12" t="str">
        <f>"AJW Technology Consulting GmbH"</f>
        <v>AJW Technology Consulting GmbH</v>
      </c>
      <c r="K497" s="12" t="str">
        <f>"Kreuzplatz 2"</f>
        <v>Kreuzplatz 2</v>
      </c>
      <c r="L497" s="12" t="str">
        <f>"CH-8032"</f>
        <v>CH-8032</v>
      </c>
      <c r="M497" s="12" t="str">
        <f>"Zürich"</f>
        <v>Zürich</v>
      </c>
      <c r="N497" s="12" t="str">
        <f>"CHRN-AR-20001796"</f>
        <v>CHRN-AR-20001796</v>
      </c>
      <c r="O497" s="12" t="str">
        <f>"KT001216"</f>
        <v>KT001216</v>
      </c>
      <c r="P497" s="13" t="str">
        <f>"Mediq Suisse AG"</f>
        <v>Mediq Suisse AG</v>
      </c>
    </row>
    <row r="498" spans="1:16" x14ac:dyDescent="0.15">
      <c r="A498" s="11" t="str">
        <f>"STL-VAP-VTU-DIN"</f>
        <v>STL-VAP-VTU-DIN</v>
      </c>
      <c r="B498" s="12" t="str">
        <f>"Vapotherm Transporteinheit DIN"</f>
        <v>Vapotherm Transporteinheit DIN</v>
      </c>
      <c r="C498" s="12" t="str">
        <f>"MDR Risikoklasse IIa"</f>
        <v>MDR Risikoklasse IIa</v>
      </c>
      <c r="D498" s="12" t="str">
        <f>"KO12883"</f>
        <v>KO12883</v>
      </c>
      <c r="E498" s="12" t="str">
        <f>"Vapotherm Inc."</f>
        <v>Vapotherm Inc.</v>
      </c>
      <c r="F498" s="12" t="str">
        <f>"100 Domain Drive"</f>
        <v>100 Domain Drive</v>
      </c>
      <c r="G498" s="12" t="str">
        <f>"US-NH 03833"</f>
        <v>US-NH 03833</v>
      </c>
      <c r="H498" s="12" t="str">
        <f>"Exeter"</f>
        <v>Exeter</v>
      </c>
      <c r="I498" s="12" t="str">
        <f>"KT005674"</f>
        <v>KT005674</v>
      </c>
      <c r="J498" s="12" t="str">
        <f>"AJW Technology Consulting GmbH"</f>
        <v>AJW Technology Consulting GmbH</v>
      </c>
      <c r="K498" s="12" t="str">
        <f>"Kreuzplatz 2"</f>
        <v>Kreuzplatz 2</v>
      </c>
      <c r="L498" s="12" t="str">
        <f>"CH-8032"</f>
        <v>CH-8032</v>
      </c>
      <c r="M498" s="12" t="str">
        <f>"Zürich"</f>
        <v>Zürich</v>
      </c>
      <c r="N498" s="12" t="str">
        <f>"CHRN-AR-20001796"</f>
        <v>CHRN-AR-20001796</v>
      </c>
      <c r="O498" s="12" t="str">
        <f>"KT001216"</f>
        <v>KT001216</v>
      </c>
      <c r="P498" s="13" t="str">
        <f>"Mediq Suisse AG"</f>
        <v>Mediq Suisse AG</v>
      </c>
    </row>
    <row r="499" spans="1:16" x14ac:dyDescent="0.15">
      <c r="A499" s="11" t="str">
        <f>"STL-VAP-VTU-G-NIST"</f>
        <v>STL-VAP-VTU-G-NIST</v>
      </c>
      <c r="B499" s="12" t="str">
        <f>"Vapotherm Transporteinheit G-Nist"</f>
        <v>Vapotherm Transporteinheit G-Nist</v>
      </c>
      <c r="C499" s="12" t="str">
        <f>"MDR Risikoklasse IIa"</f>
        <v>MDR Risikoklasse IIa</v>
      </c>
      <c r="D499" s="12" t="str">
        <f>"KO12883"</f>
        <v>KO12883</v>
      </c>
      <c r="E499" s="12" t="str">
        <f>"Vapotherm Inc."</f>
        <v>Vapotherm Inc.</v>
      </c>
      <c r="F499" s="12" t="str">
        <f>"100 Domain Drive"</f>
        <v>100 Domain Drive</v>
      </c>
      <c r="G499" s="12" t="str">
        <f>"US-NH 03833"</f>
        <v>US-NH 03833</v>
      </c>
      <c r="H499" s="12" t="str">
        <f>"Exeter"</f>
        <v>Exeter</v>
      </c>
      <c r="I499" s="12" t="str">
        <f>"KT005674"</f>
        <v>KT005674</v>
      </c>
      <c r="J499" s="12" t="str">
        <f>"AJW Technology Consulting GmbH"</f>
        <v>AJW Technology Consulting GmbH</v>
      </c>
      <c r="K499" s="12" t="str">
        <f>"Kreuzplatz 2"</f>
        <v>Kreuzplatz 2</v>
      </c>
      <c r="L499" s="12" t="str">
        <f>"CH-8032"</f>
        <v>CH-8032</v>
      </c>
      <c r="M499" s="12" t="str">
        <f>"Zürich"</f>
        <v>Zürich</v>
      </c>
      <c r="N499" s="12" t="str">
        <f>"CHRN-AR-20001796"</f>
        <v>CHRN-AR-20001796</v>
      </c>
      <c r="O499" s="12" t="str">
        <f>"KT001216"</f>
        <v>KT001216</v>
      </c>
      <c r="P499" s="13" t="str">
        <f>"Mediq Suisse AG"</f>
        <v>Mediq Suisse AG</v>
      </c>
    </row>
    <row r="500" spans="1:16" x14ac:dyDescent="0.15">
      <c r="A500" s="11" t="str">
        <f>"UB 750-10 S"</f>
        <v>UB 750-10 S</v>
      </c>
      <c r="B500" s="12" t="str">
        <f>"Care Flow Beinbeutel|Kreuzventil|750ml|10cm|steril"</f>
        <v>Care Flow Beinbeutel|Kreuzventil|750ml|10cm|steril</v>
      </c>
      <c r="C500" s="12" t="str">
        <f>"MDR Risikoklasse Is"</f>
        <v>MDR Risikoklasse Is</v>
      </c>
      <c r="D500" s="12" t="str">
        <f>"KT005810"</f>
        <v>KT005810</v>
      </c>
      <c r="E500" s="12" t="str">
        <f>"Hangzhou Primecare Medical Co., Ltd."</f>
        <v>Hangzhou Primecare Medical Co., Ltd.</v>
      </c>
      <c r="F500" s="12" t="str">
        <f>"Room 408-409, Zancheng Center West"</f>
        <v>Room 408-409, Zancheng Center West</v>
      </c>
      <c r="G500" s="12" t="str">
        <f>"CN-310008"</f>
        <v>CN-310008</v>
      </c>
      <c r="H500" s="12" t="str">
        <f>"Hangzhou"</f>
        <v>Hangzhou</v>
      </c>
      <c r="I500" s="12" t="str">
        <f>"KT005668"</f>
        <v>KT005668</v>
      </c>
      <c r="J500" s="12" t="str">
        <f>"CMC Medical Devices GmbH"</f>
        <v>CMC Medical Devices GmbH</v>
      </c>
      <c r="K500" s="12" t="str">
        <f>"Bahnhofstrasse 32"</f>
        <v>Bahnhofstrasse 32</v>
      </c>
      <c r="L500" s="12" t="str">
        <f>"CH-6300"</f>
        <v>CH-6300</v>
      </c>
      <c r="M500" s="12" t="str">
        <f>"Zug"</f>
        <v>Zug</v>
      </c>
      <c r="N500" s="12" t="str">
        <f>"CHRN-AR-20000950"</f>
        <v>CHRN-AR-20000950</v>
      </c>
      <c r="O500" s="12" t="str">
        <f>"KT001216"</f>
        <v>KT001216</v>
      </c>
      <c r="P500" s="13" t="str">
        <f>"Mediq Suisse AG"</f>
        <v>Mediq Suisse AG</v>
      </c>
    </row>
    <row r="501" spans="1:16" x14ac:dyDescent="0.15">
      <c r="A501" s="11" t="str">
        <f>"UB 750-30 S"</f>
        <v>UB 750-30 S</v>
      </c>
      <c r="B501" s="12" t="str">
        <f>"Care Flow Beinbeutel|Kreuzventil|750ml|30cm|steril"</f>
        <v>Care Flow Beinbeutel|Kreuzventil|750ml|30cm|steril</v>
      </c>
      <c r="C501" s="12" t="str">
        <f>"MDR Risikoklasse Is"</f>
        <v>MDR Risikoklasse Is</v>
      </c>
      <c r="D501" s="12" t="str">
        <f>"KT005810"</f>
        <v>KT005810</v>
      </c>
      <c r="E501" s="12" t="str">
        <f>"Hangzhou Primecare Medical Co., Ltd."</f>
        <v>Hangzhou Primecare Medical Co., Ltd.</v>
      </c>
      <c r="F501" s="12" t="str">
        <f>"Room 408-409, Zancheng Center West"</f>
        <v>Room 408-409, Zancheng Center West</v>
      </c>
      <c r="G501" s="12" t="str">
        <f>"CN-310008"</f>
        <v>CN-310008</v>
      </c>
      <c r="H501" s="12" t="str">
        <f>"Hangzhou"</f>
        <v>Hangzhou</v>
      </c>
      <c r="I501" s="12" t="str">
        <f>"KT005668"</f>
        <v>KT005668</v>
      </c>
      <c r="J501" s="12" t="str">
        <f>"CMC Medical Devices GmbH"</f>
        <v>CMC Medical Devices GmbH</v>
      </c>
      <c r="K501" s="12" t="str">
        <f>"Bahnhofstrasse 32"</f>
        <v>Bahnhofstrasse 32</v>
      </c>
      <c r="L501" s="12" t="str">
        <f>"CH-6300"</f>
        <v>CH-6300</v>
      </c>
      <c r="M501" s="12" t="str">
        <f>"Zug"</f>
        <v>Zug</v>
      </c>
      <c r="N501" s="12" t="str">
        <f>"CHRN-AR-20000950"</f>
        <v>CHRN-AR-20000950</v>
      </c>
      <c r="O501" s="12" t="str">
        <f>"KT001216"</f>
        <v>KT001216</v>
      </c>
      <c r="P501" s="13" t="str">
        <f>"Mediq Suisse AG"</f>
        <v>Mediq Suisse AG</v>
      </c>
    </row>
    <row r="502" spans="1:16" x14ac:dyDescent="0.15">
      <c r="A502" s="11" t="str">
        <f>"UB 750-50 S"</f>
        <v>UB 750-50 S</v>
      </c>
      <c r="B502" s="12" t="str">
        <f>"Care Flow Beinbeutel|Kreuzventil|750ml|50cm|steril"</f>
        <v>Care Flow Beinbeutel|Kreuzventil|750ml|50cm|steril</v>
      </c>
      <c r="C502" s="12" t="str">
        <f>"MDR Risikoklasse Is"</f>
        <v>MDR Risikoklasse Is</v>
      </c>
      <c r="D502" s="12" t="str">
        <f>"KT005810"</f>
        <v>KT005810</v>
      </c>
      <c r="E502" s="12" t="str">
        <f>"Hangzhou Primecare Medical Co., Ltd."</f>
        <v>Hangzhou Primecare Medical Co., Ltd.</v>
      </c>
      <c r="F502" s="12" t="str">
        <f>"Room 408-409, Zancheng Center West"</f>
        <v>Room 408-409, Zancheng Center West</v>
      </c>
      <c r="G502" s="12" t="str">
        <f>"CN-310008"</f>
        <v>CN-310008</v>
      </c>
      <c r="H502" s="12" t="str">
        <f>"Hangzhou"</f>
        <v>Hangzhou</v>
      </c>
      <c r="I502" s="12" t="str">
        <f>"KT005668"</f>
        <v>KT005668</v>
      </c>
      <c r="J502" s="12" t="str">
        <f>"CMC Medical Devices GmbH"</f>
        <v>CMC Medical Devices GmbH</v>
      </c>
      <c r="K502" s="12" t="str">
        <f>"Bahnhofstrasse 32"</f>
        <v>Bahnhofstrasse 32</v>
      </c>
      <c r="L502" s="12" t="str">
        <f>"CH-6300"</f>
        <v>CH-6300</v>
      </c>
      <c r="M502" s="12" t="str">
        <f>"Zug"</f>
        <v>Zug</v>
      </c>
      <c r="N502" s="12" t="str">
        <f>"CHRN-AR-20000950"</f>
        <v>CHRN-AR-20000950</v>
      </c>
      <c r="O502" s="12" t="str">
        <f>"KT001216"</f>
        <v>KT001216</v>
      </c>
      <c r="P502" s="13" t="str">
        <f>"Mediq Suisse AG"</f>
        <v>Mediq Suisse AG</v>
      </c>
    </row>
    <row r="503" spans="1:16" x14ac:dyDescent="0.15">
      <c r="A503" s="11" t="str">
        <f>"VAP-3000022"</f>
        <v>VAP-3000022</v>
      </c>
      <c r="B503" s="12" t="str">
        <f>"Precision Flow, Housing Window"</f>
        <v>Precision Flow, Housing Window</v>
      </c>
      <c r="C503" s="12" t="str">
        <f>"MDR Risikoklasse IIb"</f>
        <v>MDR Risikoklasse IIb</v>
      </c>
      <c r="D503" s="12" t="str">
        <f>"KO12883"</f>
        <v>KO12883</v>
      </c>
      <c r="E503" s="12" t="str">
        <f>"Vapotherm Inc."</f>
        <v>Vapotherm Inc.</v>
      </c>
      <c r="F503" s="12" t="str">
        <f>"100 Domain Drive"</f>
        <v>100 Domain Drive</v>
      </c>
      <c r="G503" s="12" t="str">
        <f>"US-NH 03833"</f>
        <v>US-NH 03833</v>
      </c>
      <c r="H503" s="12" t="str">
        <f>"Exeter"</f>
        <v>Exeter</v>
      </c>
      <c r="I503" s="12" t="str">
        <f>"KT005674"</f>
        <v>KT005674</v>
      </c>
      <c r="J503" s="12" t="str">
        <f>"AJW Technology Consulting GmbH"</f>
        <v>AJW Technology Consulting GmbH</v>
      </c>
      <c r="K503" s="12" t="str">
        <f>"Kreuzplatz 2"</f>
        <v>Kreuzplatz 2</v>
      </c>
      <c r="L503" s="12" t="str">
        <f>"CH-8032"</f>
        <v>CH-8032</v>
      </c>
      <c r="M503" s="12" t="str">
        <f>"Zürich"</f>
        <v>Zürich</v>
      </c>
      <c r="N503" s="12" t="str">
        <f>"CHRN-AR-20001796"</f>
        <v>CHRN-AR-20001796</v>
      </c>
      <c r="O503" s="12" t="str">
        <f>"KT001216"</f>
        <v>KT001216</v>
      </c>
      <c r="P503" s="13" t="str">
        <f>"Mediq Suisse AG"</f>
        <v>Mediq Suisse AG</v>
      </c>
    </row>
    <row r="504" spans="1:16" x14ac:dyDescent="0.15">
      <c r="A504" s="11" t="str">
        <f>"VAP-3000064"</f>
        <v>VAP-3000064</v>
      </c>
      <c r="B504" s="12" t="str">
        <f>"Precision Flow Battery Pack Rev. New"</f>
        <v>Precision Flow Battery Pack Rev. New</v>
      </c>
      <c r="C504" s="12" t="str">
        <f>"MDR Risikoklasse IIb"</f>
        <v>MDR Risikoklasse IIb</v>
      </c>
      <c r="D504" s="12" t="str">
        <f>"KO12883"</f>
        <v>KO12883</v>
      </c>
      <c r="E504" s="12" t="str">
        <f>"Vapotherm Inc."</f>
        <v>Vapotherm Inc.</v>
      </c>
      <c r="F504" s="12" t="str">
        <f>"100 Domain Drive"</f>
        <v>100 Domain Drive</v>
      </c>
      <c r="G504" s="12" t="str">
        <f>"US-NH 03833"</f>
        <v>US-NH 03833</v>
      </c>
      <c r="H504" s="12" t="str">
        <f>"Exeter"</f>
        <v>Exeter</v>
      </c>
      <c r="I504" s="12" t="str">
        <f>"KT005674"</f>
        <v>KT005674</v>
      </c>
      <c r="J504" s="12" t="str">
        <f>"AJW Technology Consulting GmbH"</f>
        <v>AJW Technology Consulting GmbH</v>
      </c>
      <c r="K504" s="12" t="str">
        <f>"Kreuzplatz 2"</f>
        <v>Kreuzplatz 2</v>
      </c>
      <c r="L504" s="12" t="str">
        <f>"CH-8032"</f>
        <v>CH-8032</v>
      </c>
      <c r="M504" s="12" t="str">
        <f>"Zürich"</f>
        <v>Zürich</v>
      </c>
      <c r="N504" s="12" t="str">
        <f>"CHRN-AR-20001796"</f>
        <v>CHRN-AR-20001796</v>
      </c>
      <c r="O504" s="12" t="str">
        <f>"KT001216"</f>
        <v>KT001216</v>
      </c>
      <c r="P504" s="13" t="str">
        <f>"Mediq Suisse AG"</f>
        <v>Mediq Suisse AG</v>
      </c>
    </row>
    <row r="505" spans="1:16" x14ac:dyDescent="0.15">
      <c r="A505" s="11" t="str">
        <f>"VAP-3000076"</f>
        <v>VAP-3000076</v>
      </c>
      <c r="B505" s="12" t="str">
        <f>"Precision Flow Wire Harness, Speaker/Fan"</f>
        <v>Precision Flow Wire Harness, Speaker/Fan</v>
      </c>
      <c r="C505" s="12" t="str">
        <f>"MDR Risikoklasse IIb"</f>
        <v>MDR Risikoklasse IIb</v>
      </c>
      <c r="D505" s="12" t="str">
        <f>"KO12883"</f>
        <v>KO12883</v>
      </c>
      <c r="E505" s="12" t="str">
        <f>"Vapotherm Inc."</f>
        <v>Vapotherm Inc.</v>
      </c>
      <c r="F505" s="12" t="str">
        <f>"100 Domain Drive"</f>
        <v>100 Domain Drive</v>
      </c>
      <c r="G505" s="12" t="str">
        <f>"US-NH 03833"</f>
        <v>US-NH 03833</v>
      </c>
      <c r="H505" s="12" t="str">
        <f>"Exeter"</f>
        <v>Exeter</v>
      </c>
      <c r="I505" s="12" t="str">
        <f>"KT005674"</f>
        <v>KT005674</v>
      </c>
      <c r="J505" s="12" t="str">
        <f>"AJW Technology Consulting GmbH"</f>
        <v>AJW Technology Consulting GmbH</v>
      </c>
      <c r="K505" s="12" t="str">
        <f>"Kreuzplatz 2"</f>
        <v>Kreuzplatz 2</v>
      </c>
      <c r="L505" s="12" t="str">
        <f>"CH-8032"</f>
        <v>CH-8032</v>
      </c>
      <c r="M505" s="12" t="str">
        <f>"Zürich"</f>
        <v>Zürich</v>
      </c>
      <c r="N505" s="12" t="str">
        <f>"CHRN-AR-20001796"</f>
        <v>CHRN-AR-20001796</v>
      </c>
      <c r="O505" s="12" t="str">
        <f>"KT001216"</f>
        <v>KT001216</v>
      </c>
      <c r="P505" s="13" t="str">
        <f>"Mediq Suisse AG"</f>
        <v>Mediq Suisse AG</v>
      </c>
    </row>
    <row r="506" spans="1:16" x14ac:dyDescent="0.15">
      <c r="A506" s="11" t="str">
        <f>"VAP-3000139"</f>
        <v>VAP-3000139</v>
      </c>
      <c r="B506" s="12" t="str">
        <f>"Precision Flow NIST O2 Filter Anschluss"</f>
        <v>Precision Flow NIST O2 Filter Anschluss</v>
      </c>
      <c r="C506" s="12" t="str">
        <f>"MDR Risikoklasse IIb"</f>
        <v>MDR Risikoklasse IIb</v>
      </c>
      <c r="D506" s="12" t="str">
        <f>"KO12883"</f>
        <v>KO12883</v>
      </c>
      <c r="E506" s="12" t="str">
        <f>"Vapotherm Inc."</f>
        <v>Vapotherm Inc.</v>
      </c>
      <c r="F506" s="12" t="str">
        <f>"100 Domain Drive"</f>
        <v>100 Domain Drive</v>
      </c>
      <c r="G506" s="12" t="str">
        <f>"US-NH 03833"</f>
        <v>US-NH 03833</v>
      </c>
      <c r="H506" s="12" t="str">
        <f>"Exeter"</f>
        <v>Exeter</v>
      </c>
      <c r="I506" s="12" t="str">
        <f>"KT005674"</f>
        <v>KT005674</v>
      </c>
      <c r="J506" s="12" t="str">
        <f>"AJW Technology Consulting GmbH"</f>
        <v>AJW Technology Consulting GmbH</v>
      </c>
      <c r="K506" s="12" t="str">
        <f>"Kreuzplatz 2"</f>
        <v>Kreuzplatz 2</v>
      </c>
      <c r="L506" s="12" t="str">
        <f>"CH-8032"</f>
        <v>CH-8032</v>
      </c>
      <c r="M506" s="12" t="str">
        <f>"Zürich"</f>
        <v>Zürich</v>
      </c>
      <c r="N506" s="12" t="str">
        <f>"CHRN-AR-20001796"</f>
        <v>CHRN-AR-20001796</v>
      </c>
      <c r="O506" s="12" t="str">
        <f>"KT001216"</f>
        <v>KT001216</v>
      </c>
      <c r="P506" s="13" t="str">
        <f>"Mediq Suisse AG"</f>
        <v>Mediq Suisse AG</v>
      </c>
    </row>
    <row r="507" spans="1:16" x14ac:dyDescent="0.15">
      <c r="A507" s="11" t="str">
        <f>"VAP-3000141"</f>
        <v>VAP-3000141</v>
      </c>
      <c r="B507" s="12" t="str">
        <f>"Precision Flow NIST Air Filter Anschluss"</f>
        <v>Precision Flow NIST Air Filter Anschluss</v>
      </c>
      <c r="C507" s="12" t="str">
        <f>"MDR Risikoklasse IIb"</f>
        <v>MDR Risikoklasse IIb</v>
      </c>
      <c r="D507" s="12" t="str">
        <f>"KO12883"</f>
        <v>KO12883</v>
      </c>
      <c r="E507" s="12" t="str">
        <f>"Vapotherm Inc."</f>
        <v>Vapotherm Inc.</v>
      </c>
      <c r="F507" s="12" t="str">
        <f>"100 Domain Drive"</f>
        <v>100 Domain Drive</v>
      </c>
      <c r="G507" s="12" t="str">
        <f>"US-NH 03833"</f>
        <v>US-NH 03833</v>
      </c>
      <c r="H507" s="12" t="str">
        <f>"Exeter"</f>
        <v>Exeter</v>
      </c>
      <c r="I507" s="12" t="str">
        <f>"KT005674"</f>
        <v>KT005674</v>
      </c>
      <c r="J507" s="12" t="str">
        <f>"AJW Technology Consulting GmbH"</f>
        <v>AJW Technology Consulting GmbH</v>
      </c>
      <c r="K507" s="12" t="str">
        <f>"Kreuzplatz 2"</f>
        <v>Kreuzplatz 2</v>
      </c>
      <c r="L507" s="12" t="str">
        <f>"CH-8032"</f>
        <v>CH-8032</v>
      </c>
      <c r="M507" s="12" t="str">
        <f>"Zürich"</f>
        <v>Zürich</v>
      </c>
      <c r="N507" s="12" t="str">
        <f>"CHRN-AR-20001796"</f>
        <v>CHRN-AR-20001796</v>
      </c>
      <c r="O507" s="12" t="str">
        <f>"KT001216"</f>
        <v>KT001216</v>
      </c>
      <c r="P507" s="13" t="str">
        <f>"Mediq Suisse AG"</f>
        <v>Mediq Suisse AG</v>
      </c>
    </row>
    <row r="508" spans="1:16" x14ac:dyDescent="0.15">
      <c r="A508" s="11" t="str">
        <f>"VAP-3001081"</f>
        <v>VAP-3001081</v>
      </c>
      <c r="B508" s="12" t="str">
        <f>"Poly Carbonate Bowl"</f>
        <v>Poly Carbonate Bowl</v>
      </c>
      <c r="C508" s="12" t="str">
        <f>"MDR Risikoklasse IIa"</f>
        <v>MDR Risikoklasse IIa</v>
      </c>
      <c r="D508" s="12" t="str">
        <f>"KO12883"</f>
        <v>KO12883</v>
      </c>
      <c r="E508" s="12" t="str">
        <f>"Vapotherm Inc."</f>
        <v>Vapotherm Inc.</v>
      </c>
      <c r="F508" s="12" t="str">
        <f>"100 Domain Drive"</f>
        <v>100 Domain Drive</v>
      </c>
      <c r="G508" s="12" t="str">
        <f>"US-NH 03833"</f>
        <v>US-NH 03833</v>
      </c>
      <c r="H508" s="12" t="str">
        <f>"Exeter"</f>
        <v>Exeter</v>
      </c>
      <c r="I508" s="12" t="str">
        <f>"KT005674"</f>
        <v>KT005674</v>
      </c>
      <c r="J508" s="12" t="str">
        <f>"AJW Technology Consulting GmbH"</f>
        <v>AJW Technology Consulting GmbH</v>
      </c>
      <c r="K508" s="12" t="str">
        <f>"Kreuzplatz 2"</f>
        <v>Kreuzplatz 2</v>
      </c>
      <c r="L508" s="12" t="str">
        <f>"CH-8032"</f>
        <v>CH-8032</v>
      </c>
      <c r="M508" s="12" t="str">
        <f>"Zürich"</f>
        <v>Zürich</v>
      </c>
      <c r="N508" s="12" t="str">
        <f>"CHRN-AR-20001796"</f>
        <v>CHRN-AR-20001796</v>
      </c>
      <c r="O508" s="12" t="str">
        <f>"KT001216"</f>
        <v>KT001216</v>
      </c>
      <c r="P508" s="13" t="str">
        <f>"Mediq Suisse AG"</f>
        <v>Mediq Suisse AG</v>
      </c>
    </row>
    <row r="509" spans="1:16" x14ac:dyDescent="0.15">
      <c r="A509" s="11" t="str">
        <f>"VAP-3003011"</f>
        <v>VAP-3003011</v>
      </c>
      <c r="B509" s="12" t="str">
        <f>"Precision Flow O2 Sensor"</f>
        <v>Precision Flow O2 Sensor</v>
      </c>
      <c r="C509" s="12" t="str">
        <f>"MDR Risikoklasse IIa"</f>
        <v>MDR Risikoklasse IIa</v>
      </c>
      <c r="D509" s="12" t="str">
        <f>"KO12883"</f>
        <v>KO12883</v>
      </c>
      <c r="E509" s="12" t="str">
        <f>"Vapotherm Inc."</f>
        <v>Vapotherm Inc.</v>
      </c>
      <c r="F509" s="12" t="str">
        <f>"100 Domain Drive"</f>
        <v>100 Domain Drive</v>
      </c>
      <c r="G509" s="12" t="str">
        <f>"US-NH 03833"</f>
        <v>US-NH 03833</v>
      </c>
      <c r="H509" s="12" t="str">
        <f>"Exeter"</f>
        <v>Exeter</v>
      </c>
      <c r="I509" s="12" t="str">
        <f>"KT005674"</f>
        <v>KT005674</v>
      </c>
      <c r="J509" s="12" t="str">
        <f>"AJW Technology Consulting GmbH"</f>
        <v>AJW Technology Consulting GmbH</v>
      </c>
      <c r="K509" s="12" t="str">
        <f>"Kreuzplatz 2"</f>
        <v>Kreuzplatz 2</v>
      </c>
      <c r="L509" s="12" t="str">
        <f>"CH-8032"</f>
        <v>CH-8032</v>
      </c>
      <c r="M509" s="12" t="str">
        <f>"Zürich"</f>
        <v>Zürich</v>
      </c>
      <c r="N509" s="12" t="str">
        <f>"CHRN-AR-20001796"</f>
        <v>CHRN-AR-20001796</v>
      </c>
      <c r="O509" s="12" t="str">
        <f>"KT001216"</f>
        <v>KT001216</v>
      </c>
      <c r="P509" s="13" t="str">
        <f>"Mediq Suisse AG"</f>
        <v>Mediq Suisse AG</v>
      </c>
    </row>
    <row r="510" spans="1:16" x14ac:dyDescent="0.15">
      <c r="A510" s="11" t="str">
        <f>"VAP-3003034"</f>
        <v>VAP-3003034</v>
      </c>
      <c r="B510" s="12" t="str">
        <f>"Precision Flow, Filter 5 Micron, 10 Stück"</f>
        <v>Precision Flow, Filter 5 Micron, 10 Stück</v>
      </c>
      <c r="C510" s="12" t="str">
        <f>"MDR Risikoklasse IIa"</f>
        <v>MDR Risikoklasse IIa</v>
      </c>
      <c r="D510" s="12" t="str">
        <f>"KO12883"</f>
        <v>KO12883</v>
      </c>
      <c r="E510" s="12" t="str">
        <f>"Vapotherm Inc."</f>
        <v>Vapotherm Inc.</v>
      </c>
      <c r="F510" s="12" t="str">
        <f>"100 Domain Drive"</f>
        <v>100 Domain Drive</v>
      </c>
      <c r="G510" s="12" t="str">
        <f>"US-NH 03833"</f>
        <v>US-NH 03833</v>
      </c>
      <c r="H510" s="12" t="str">
        <f>"Exeter"</f>
        <v>Exeter</v>
      </c>
      <c r="I510" s="12" t="str">
        <f>"KT005674"</f>
        <v>KT005674</v>
      </c>
      <c r="J510" s="12" t="str">
        <f>"AJW Technology Consulting GmbH"</f>
        <v>AJW Technology Consulting GmbH</v>
      </c>
      <c r="K510" s="12" t="str">
        <f>"Kreuzplatz 2"</f>
        <v>Kreuzplatz 2</v>
      </c>
      <c r="L510" s="12" t="str">
        <f>"CH-8032"</f>
        <v>CH-8032</v>
      </c>
      <c r="M510" s="12" t="str">
        <f>"Zürich"</f>
        <v>Zürich</v>
      </c>
      <c r="N510" s="12" t="str">
        <f>"CHRN-AR-20001796"</f>
        <v>CHRN-AR-20001796</v>
      </c>
      <c r="O510" s="12" t="str">
        <f>"KT001216"</f>
        <v>KT001216</v>
      </c>
      <c r="P510" s="13" t="str">
        <f>"Mediq Suisse AG"</f>
        <v>Mediq Suisse AG</v>
      </c>
    </row>
    <row r="511" spans="1:16" x14ac:dyDescent="0.15">
      <c r="A511" s="11" t="str">
        <f>"VAP-3010215"</f>
        <v>VAP-3010215</v>
      </c>
      <c r="B511" s="12" t="str">
        <f>"Delivery Tube Clip"</f>
        <v>Delivery Tube Clip</v>
      </c>
      <c r="C511" s="12" t="str">
        <f>"MDR Risikoklasse IIa"</f>
        <v>MDR Risikoklasse IIa</v>
      </c>
      <c r="D511" s="12" t="str">
        <f>"KO12883"</f>
        <v>KO12883</v>
      </c>
      <c r="E511" s="12" t="str">
        <f>"Vapotherm Inc."</f>
        <v>Vapotherm Inc.</v>
      </c>
      <c r="F511" s="12" t="str">
        <f>"100 Domain Drive"</f>
        <v>100 Domain Drive</v>
      </c>
      <c r="G511" s="12" t="str">
        <f>"US-NH 03833"</f>
        <v>US-NH 03833</v>
      </c>
      <c r="H511" s="12" t="str">
        <f>"Exeter"</f>
        <v>Exeter</v>
      </c>
      <c r="I511" s="12" t="str">
        <f>"KT005674"</f>
        <v>KT005674</v>
      </c>
      <c r="J511" s="12" t="str">
        <f>"AJW Technology Consulting GmbH"</f>
        <v>AJW Technology Consulting GmbH</v>
      </c>
      <c r="K511" s="12" t="str">
        <f>"Kreuzplatz 2"</f>
        <v>Kreuzplatz 2</v>
      </c>
      <c r="L511" s="12" t="str">
        <f>"CH-8032"</f>
        <v>CH-8032</v>
      </c>
      <c r="M511" s="12" t="str">
        <f>"Zürich"</f>
        <v>Zürich</v>
      </c>
      <c r="N511" s="12" t="str">
        <f>"CHRN-AR-20001796"</f>
        <v>CHRN-AR-20001796</v>
      </c>
      <c r="O511" s="12" t="str">
        <f>"KT001216"</f>
        <v>KT001216</v>
      </c>
      <c r="P511" s="13" t="str">
        <f>"Mediq Suisse AG"</f>
        <v>Mediq Suisse AG</v>
      </c>
    </row>
    <row r="512" spans="1:16" x14ac:dyDescent="0.15">
      <c r="A512" s="11" t="str">
        <f>"VAP-44000093"</f>
        <v>VAP-44000093</v>
      </c>
      <c r="B512" s="12" t="str">
        <f>"Adapter Masimo LNCS to RD"</f>
        <v>Adapter Masimo LNCS to RD</v>
      </c>
      <c r="C512" s="12" t="str">
        <f>"MDR Risikoklasse IIb"</f>
        <v>MDR Risikoklasse IIb</v>
      </c>
      <c r="D512" s="12" t="str">
        <f>"KO12883"</f>
        <v>KO12883</v>
      </c>
      <c r="E512" s="12" t="str">
        <f>"Vapotherm Inc."</f>
        <v>Vapotherm Inc.</v>
      </c>
      <c r="F512" s="12" t="str">
        <f>"100 Domain Drive"</f>
        <v>100 Domain Drive</v>
      </c>
      <c r="G512" s="12" t="str">
        <f>"US-NH 03833"</f>
        <v>US-NH 03833</v>
      </c>
      <c r="H512" s="12" t="str">
        <f>"Exeter"</f>
        <v>Exeter</v>
      </c>
      <c r="I512" s="12" t="str">
        <f>"KT005674"</f>
        <v>KT005674</v>
      </c>
      <c r="J512" s="12" t="str">
        <f>"AJW Technology Consulting GmbH"</f>
        <v>AJW Technology Consulting GmbH</v>
      </c>
      <c r="K512" s="12" t="str">
        <f>"Kreuzplatz 2"</f>
        <v>Kreuzplatz 2</v>
      </c>
      <c r="L512" s="12" t="str">
        <f>"CH-8032"</f>
        <v>CH-8032</v>
      </c>
      <c r="M512" s="12" t="str">
        <f>"Zürich"</f>
        <v>Zürich</v>
      </c>
      <c r="N512" s="12" t="str">
        <f>"CHRN-AR-20001796"</f>
        <v>CHRN-AR-20001796</v>
      </c>
      <c r="O512" s="12" t="str">
        <f>"KT001216"</f>
        <v>KT001216</v>
      </c>
      <c r="P512" s="13" t="str">
        <f>"Mediq Suisse AG"</f>
        <v>Mediq Suisse AG</v>
      </c>
    </row>
    <row r="513" spans="1:16" x14ac:dyDescent="0.15">
      <c r="A513" s="11" t="str">
        <f>"VAP-AAA-1"</f>
        <v>VAP-AAA-1</v>
      </c>
      <c r="B513" s="12" t="str">
        <f>"Aerosol Adapter for Precision Flow"</f>
        <v>Aerosol Adapter for Precision Flow</v>
      </c>
      <c r="C513" s="12" t="str">
        <f>"MDR Risikoklasse IIa"</f>
        <v>MDR Risikoklasse IIa</v>
      </c>
      <c r="D513" s="12" t="str">
        <f>"KO12883"</f>
        <v>KO12883</v>
      </c>
      <c r="E513" s="12" t="str">
        <f>"Vapotherm Inc."</f>
        <v>Vapotherm Inc.</v>
      </c>
      <c r="F513" s="12" t="str">
        <f>"100 Domain Drive"</f>
        <v>100 Domain Drive</v>
      </c>
      <c r="G513" s="12" t="str">
        <f>"US-NH 03833"</f>
        <v>US-NH 03833</v>
      </c>
      <c r="H513" s="12" t="str">
        <f>"Exeter"</f>
        <v>Exeter</v>
      </c>
      <c r="I513" s="12" t="str">
        <f>"KT005674"</f>
        <v>KT005674</v>
      </c>
      <c r="J513" s="12" t="str">
        <f>"AJW Technology Consulting GmbH"</f>
        <v>AJW Technology Consulting GmbH</v>
      </c>
      <c r="K513" s="12" t="str">
        <f>"Kreuzplatz 2"</f>
        <v>Kreuzplatz 2</v>
      </c>
      <c r="L513" s="12" t="str">
        <f>"CH-8032"</f>
        <v>CH-8032</v>
      </c>
      <c r="M513" s="12" t="str">
        <f>"Zürich"</f>
        <v>Zürich</v>
      </c>
      <c r="N513" s="12" t="str">
        <f>"CHRN-AR-20001796"</f>
        <v>CHRN-AR-20001796</v>
      </c>
      <c r="O513" s="12" t="str">
        <f>"KT001216"</f>
        <v>KT001216</v>
      </c>
      <c r="P513" s="13" t="str">
        <f>"Mediq Suisse AG"</f>
        <v>Mediq Suisse AG</v>
      </c>
    </row>
    <row r="514" spans="1:16" x14ac:dyDescent="0.15">
      <c r="A514" s="11" t="str">
        <f>"VAP-FELIX-1"</f>
        <v>VAP-FELIX-1</v>
      </c>
      <c r="B514" s="12" t="str">
        <f>"Negative Pressure Scavenger Kit"</f>
        <v>Negative Pressure Scavenger Kit</v>
      </c>
      <c r="C514" s="12" t="str">
        <f>"MDR Risikoklasse IIa"</f>
        <v>MDR Risikoklasse IIa</v>
      </c>
      <c r="D514" s="12" t="str">
        <f>"KO12883"</f>
        <v>KO12883</v>
      </c>
      <c r="E514" s="12" t="str">
        <f>"Vapotherm Inc."</f>
        <v>Vapotherm Inc.</v>
      </c>
      <c r="F514" s="12" t="str">
        <f>"100 Domain Drive"</f>
        <v>100 Domain Drive</v>
      </c>
      <c r="G514" s="12" t="str">
        <f>"US-NH 03833"</f>
        <v>US-NH 03833</v>
      </c>
      <c r="H514" s="12" t="str">
        <f>"Exeter"</f>
        <v>Exeter</v>
      </c>
      <c r="I514" s="12" t="str">
        <f>"KT005674"</f>
        <v>KT005674</v>
      </c>
      <c r="J514" s="12" t="str">
        <f>"AJW Technology Consulting GmbH"</f>
        <v>AJW Technology Consulting GmbH</v>
      </c>
      <c r="K514" s="12" t="str">
        <f>"Kreuzplatz 2"</f>
        <v>Kreuzplatz 2</v>
      </c>
      <c r="L514" s="12" t="str">
        <f>"CH-8032"</f>
        <v>CH-8032</v>
      </c>
      <c r="M514" s="12" t="str">
        <f>"Zürich"</f>
        <v>Zürich</v>
      </c>
      <c r="N514" s="12" t="str">
        <f>"CHRN-AR-20001796"</f>
        <v>CHRN-AR-20001796</v>
      </c>
      <c r="O514" s="12" t="str">
        <f>"KT001216"</f>
        <v>KT001216</v>
      </c>
      <c r="P514" s="13" t="str">
        <f>"Mediq Suisse AG"</f>
        <v>Mediq Suisse AG</v>
      </c>
    </row>
    <row r="515" spans="1:16" x14ac:dyDescent="0.15">
      <c r="A515" s="11" t="str">
        <f>"VAP-HVT 2.0"</f>
        <v>VAP-HVT 2.0</v>
      </c>
      <c r="B515" s="12" t="str">
        <f>"Vapotherm HVT 2.0 System"</f>
        <v>Vapotherm HVT 2.0 System</v>
      </c>
      <c r="C515" s="12" t="str">
        <f>"MDR Risikoklasse IIa"</f>
        <v>MDR Risikoklasse IIa</v>
      </c>
      <c r="D515" s="12" t="str">
        <f>"KO12883"</f>
        <v>KO12883</v>
      </c>
      <c r="E515" s="12" t="str">
        <f>"Vapotherm Inc."</f>
        <v>Vapotherm Inc.</v>
      </c>
      <c r="F515" s="12" t="str">
        <f>"100 Domain Drive"</f>
        <v>100 Domain Drive</v>
      </c>
      <c r="G515" s="12" t="str">
        <f>"US-NH 03833"</f>
        <v>US-NH 03833</v>
      </c>
      <c r="H515" s="12" t="str">
        <f>"Exeter"</f>
        <v>Exeter</v>
      </c>
      <c r="I515" s="12" t="str">
        <f>"KT005674"</f>
        <v>KT005674</v>
      </c>
      <c r="J515" s="12" t="str">
        <f>"AJW Technology Consulting GmbH"</f>
        <v>AJW Technology Consulting GmbH</v>
      </c>
      <c r="K515" s="12" t="str">
        <f>"Kreuzplatz 2"</f>
        <v>Kreuzplatz 2</v>
      </c>
      <c r="L515" s="12" t="str">
        <f>"CH-8032"</f>
        <v>CH-8032</v>
      </c>
      <c r="M515" s="12" t="str">
        <f>"Zürich"</f>
        <v>Zürich</v>
      </c>
      <c r="N515" s="12" t="str">
        <f>"CHRN-AR-20001796"</f>
        <v>CHRN-AR-20001796</v>
      </c>
      <c r="O515" s="12" t="str">
        <f>"KT001216"</f>
        <v>KT001216</v>
      </c>
      <c r="P515" s="13" t="str">
        <f>"Mediq Suisse AG"</f>
        <v>Mediq Suisse AG</v>
      </c>
    </row>
    <row r="516" spans="1:16" x14ac:dyDescent="0.15">
      <c r="A516" s="11" t="str">
        <f>"VAP-HVT-DPC"</f>
        <v>VAP-HVT-DPC</v>
      </c>
      <c r="B516" s="12" t="str">
        <f>"Vapotherm Single circuit for pediatric and adults"</f>
        <v>Vapotherm Single circuit for pediatric and adults</v>
      </c>
      <c r="C516" s="12" t="str">
        <f>"MDR Risikoklasse IIa"</f>
        <v>MDR Risikoklasse IIa</v>
      </c>
      <c r="D516" s="12" t="str">
        <f>"KO12883"</f>
        <v>KO12883</v>
      </c>
      <c r="E516" s="12" t="str">
        <f>"Vapotherm Inc."</f>
        <v>Vapotherm Inc.</v>
      </c>
      <c r="F516" s="12" t="str">
        <f>"100 Domain Drive"</f>
        <v>100 Domain Drive</v>
      </c>
      <c r="G516" s="12" t="str">
        <f>"US-NH 03833"</f>
        <v>US-NH 03833</v>
      </c>
      <c r="H516" s="12" t="str">
        <f>"Exeter"</f>
        <v>Exeter</v>
      </c>
      <c r="I516" s="12" t="str">
        <f>"KT005674"</f>
        <v>KT005674</v>
      </c>
      <c r="J516" s="12" t="str">
        <f>"AJW Technology Consulting GmbH"</f>
        <v>AJW Technology Consulting GmbH</v>
      </c>
      <c r="K516" s="12" t="str">
        <f>"Kreuzplatz 2"</f>
        <v>Kreuzplatz 2</v>
      </c>
      <c r="L516" s="12" t="str">
        <f>"CH-8032"</f>
        <v>CH-8032</v>
      </c>
      <c r="M516" s="12" t="str">
        <f>"Zürich"</f>
        <v>Zürich</v>
      </c>
      <c r="N516" s="12" t="str">
        <f>"CHRN-AR-20001796"</f>
        <v>CHRN-AR-20001796</v>
      </c>
      <c r="O516" s="12" t="str">
        <f>"KT001216"</f>
        <v>KT001216</v>
      </c>
      <c r="P516" s="13" t="str">
        <f>"Mediq Suisse AG"</f>
        <v>Mediq Suisse AG</v>
      </c>
    </row>
    <row r="517" spans="1:16" x14ac:dyDescent="0.15">
      <c r="A517" s="11" t="str">
        <f>"VAP-MA1700"</f>
        <v>VAP-MA1700</v>
      </c>
      <c r="B517" s="12" t="str">
        <f>"Vapotherm Kanüle, Erwachsene, 4,8 mm, 5-40 l"</f>
        <v>Vapotherm Kanüle, Erwachsene, 4,8 mm, 5-40 l</v>
      </c>
      <c r="C517" s="12" t="str">
        <f>"MDR Risikoklasse IIa"</f>
        <v>MDR Risikoklasse IIa</v>
      </c>
      <c r="D517" s="12" t="str">
        <f>"KO12883"</f>
        <v>KO12883</v>
      </c>
      <c r="E517" s="12" t="str">
        <f>"Vapotherm Inc."</f>
        <v>Vapotherm Inc.</v>
      </c>
      <c r="F517" s="12" t="str">
        <f>"100 Domain Drive"</f>
        <v>100 Domain Drive</v>
      </c>
      <c r="G517" s="12" t="str">
        <f>"US-NH 03833"</f>
        <v>US-NH 03833</v>
      </c>
      <c r="H517" s="12" t="str">
        <f>"Exeter"</f>
        <v>Exeter</v>
      </c>
      <c r="I517" s="12" t="str">
        <f>"KT005674"</f>
        <v>KT005674</v>
      </c>
      <c r="J517" s="12" t="str">
        <f>"AJW Technology Consulting GmbH"</f>
        <v>AJW Technology Consulting GmbH</v>
      </c>
      <c r="K517" s="12" t="str">
        <f>"Kreuzplatz 2"</f>
        <v>Kreuzplatz 2</v>
      </c>
      <c r="L517" s="12" t="str">
        <f>"CH-8032"</f>
        <v>CH-8032</v>
      </c>
      <c r="M517" s="12" t="str">
        <f>"Zürich"</f>
        <v>Zürich</v>
      </c>
      <c r="N517" s="12" t="str">
        <f>"CHRN-AR-20001796"</f>
        <v>CHRN-AR-20001796</v>
      </c>
      <c r="O517" s="12" t="str">
        <f>"KT001216"</f>
        <v>KT001216</v>
      </c>
      <c r="P517" s="13" t="str">
        <f>"Mediq Suisse AG"</f>
        <v>Mediq Suisse AG</v>
      </c>
    </row>
    <row r="518" spans="1:16" x14ac:dyDescent="0.15">
      <c r="A518" s="11" t="str">
        <f>"VAP-MI1300"</f>
        <v>VAP-MI1300</v>
      </c>
      <c r="B518" s="12" t="str">
        <f>"Vapotherm Kanüle, Säugling, 1.9 mm, 1-8 l"</f>
        <v>Vapotherm Kanüle, Säugling, 1.9 mm, 1-8 l</v>
      </c>
      <c r="C518" s="12" t="str">
        <f>"MDR Risikoklasse IIa"</f>
        <v>MDR Risikoklasse IIa</v>
      </c>
      <c r="D518" s="12" t="str">
        <f>"KO12883"</f>
        <v>KO12883</v>
      </c>
      <c r="E518" s="12" t="str">
        <f>"Vapotherm Inc."</f>
        <v>Vapotherm Inc.</v>
      </c>
      <c r="F518" s="12" t="str">
        <f>"100 Domain Drive"</f>
        <v>100 Domain Drive</v>
      </c>
      <c r="G518" s="12" t="str">
        <f>"US-NH 03833"</f>
        <v>US-NH 03833</v>
      </c>
      <c r="H518" s="12" t="str">
        <f>"Exeter"</f>
        <v>Exeter</v>
      </c>
      <c r="I518" s="12" t="str">
        <f>"KT005674"</f>
        <v>KT005674</v>
      </c>
      <c r="J518" s="12" t="str">
        <f>"AJW Technology Consulting GmbH"</f>
        <v>AJW Technology Consulting GmbH</v>
      </c>
      <c r="K518" s="12" t="str">
        <f>"Kreuzplatz 2"</f>
        <v>Kreuzplatz 2</v>
      </c>
      <c r="L518" s="12" t="str">
        <f>"CH-8032"</f>
        <v>CH-8032</v>
      </c>
      <c r="M518" s="12" t="str">
        <f>"Zürich"</f>
        <v>Zürich</v>
      </c>
      <c r="N518" s="12" t="str">
        <f>"CHRN-AR-20001796"</f>
        <v>CHRN-AR-20001796</v>
      </c>
      <c r="O518" s="12" t="str">
        <f>"KT001216"</f>
        <v>KT001216</v>
      </c>
      <c r="P518" s="13" t="str">
        <f>"Mediq Suisse AG"</f>
        <v>Mediq Suisse AG</v>
      </c>
    </row>
    <row r="519" spans="1:16" x14ac:dyDescent="0.15">
      <c r="A519" s="11" t="str">
        <f>"VAP-MI1300B"</f>
        <v>VAP-MI1300B</v>
      </c>
      <c r="B519" s="12" t="str">
        <f>"Vapotherm Kanüle Baby, 1.9 mm, 1-8 l"</f>
        <v>Vapotherm Kanüle Baby, 1.9 mm, 1-8 l</v>
      </c>
      <c r="C519" s="12" t="str">
        <f>"MDR Risikoklasse IIa"</f>
        <v>MDR Risikoklasse IIa</v>
      </c>
      <c r="D519" s="12" t="str">
        <f>"KO12883"</f>
        <v>KO12883</v>
      </c>
      <c r="E519" s="12" t="str">
        <f>"Vapotherm Inc."</f>
        <v>Vapotherm Inc.</v>
      </c>
      <c r="F519" s="12" t="str">
        <f>"100 Domain Drive"</f>
        <v>100 Domain Drive</v>
      </c>
      <c r="G519" s="12" t="str">
        <f>"US-NH 03833"</f>
        <v>US-NH 03833</v>
      </c>
      <c r="H519" s="12" t="str">
        <f>"Exeter"</f>
        <v>Exeter</v>
      </c>
      <c r="I519" s="12" t="str">
        <f>"KT005674"</f>
        <v>KT005674</v>
      </c>
      <c r="J519" s="12" t="str">
        <f>"AJW Technology Consulting GmbH"</f>
        <v>AJW Technology Consulting GmbH</v>
      </c>
      <c r="K519" s="12" t="str">
        <f>"Kreuzplatz 2"</f>
        <v>Kreuzplatz 2</v>
      </c>
      <c r="L519" s="12" t="str">
        <f>"CH-8032"</f>
        <v>CH-8032</v>
      </c>
      <c r="M519" s="12" t="str">
        <f>"Zürich"</f>
        <v>Zürich</v>
      </c>
      <c r="N519" s="12" t="str">
        <f>"CHRN-AR-20001796"</f>
        <v>CHRN-AR-20001796</v>
      </c>
      <c r="O519" s="12" t="str">
        <f>"KT001216"</f>
        <v>KT001216</v>
      </c>
      <c r="P519" s="13" t="str">
        <f>"Mediq Suisse AG"</f>
        <v>Mediq Suisse AG</v>
      </c>
    </row>
    <row r="520" spans="1:16" x14ac:dyDescent="0.15">
      <c r="A520" s="11" t="str">
        <f>"VAP-MN1100A"</f>
        <v>VAP-MN1100A</v>
      </c>
      <c r="B520" s="12" t="str">
        <f>"Vapotherm Kanüle Frühgeborene, 1.5 mm, 1-8 l"</f>
        <v>Vapotherm Kanüle Frühgeborene, 1.5 mm, 1-8 l</v>
      </c>
      <c r="C520" s="12" t="str">
        <f>"MDR Risikoklasse IIa"</f>
        <v>MDR Risikoklasse IIa</v>
      </c>
      <c r="D520" s="12" t="str">
        <f>"KO12883"</f>
        <v>KO12883</v>
      </c>
      <c r="E520" s="12" t="str">
        <f>"Vapotherm Inc."</f>
        <v>Vapotherm Inc.</v>
      </c>
      <c r="F520" s="12" t="str">
        <f>"100 Domain Drive"</f>
        <v>100 Domain Drive</v>
      </c>
      <c r="G520" s="12" t="str">
        <f>"US-NH 03833"</f>
        <v>US-NH 03833</v>
      </c>
      <c r="H520" s="12" t="str">
        <f>"Exeter"</f>
        <v>Exeter</v>
      </c>
      <c r="I520" s="12" t="str">
        <f>"KT005674"</f>
        <v>KT005674</v>
      </c>
      <c r="J520" s="12" t="str">
        <f>"AJW Technology Consulting GmbH"</f>
        <v>AJW Technology Consulting GmbH</v>
      </c>
      <c r="K520" s="12" t="str">
        <f>"Kreuzplatz 2"</f>
        <v>Kreuzplatz 2</v>
      </c>
      <c r="L520" s="12" t="str">
        <f>"CH-8032"</f>
        <v>CH-8032</v>
      </c>
      <c r="M520" s="12" t="str">
        <f>"Zürich"</f>
        <v>Zürich</v>
      </c>
      <c r="N520" s="12" t="str">
        <f>"CHRN-AR-20001796"</f>
        <v>CHRN-AR-20001796</v>
      </c>
      <c r="O520" s="12" t="str">
        <f>"KT001216"</f>
        <v>KT001216</v>
      </c>
      <c r="P520" s="13" t="str">
        <f>"Mediq Suisse AG"</f>
        <v>Mediq Suisse AG</v>
      </c>
    </row>
    <row r="521" spans="1:16" x14ac:dyDescent="0.15">
      <c r="A521" s="11" t="str">
        <f>"VAP-MN1100B"</f>
        <v>VAP-MN1100B</v>
      </c>
      <c r="B521" s="12" t="str">
        <f>"Vapotherm Kanüle Neugeborene, 1.5 mm, 1-8 l"</f>
        <v>Vapotherm Kanüle Neugeborene, 1.5 mm, 1-8 l</v>
      </c>
      <c r="C521" s="12" t="str">
        <f>"MDR Risikoklasse IIa"</f>
        <v>MDR Risikoklasse IIa</v>
      </c>
      <c r="D521" s="12" t="str">
        <f>"KO12883"</f>
        <v>KO12883</v>
      </c>
      <c r="E521" s="12" t="str">
        <f>"Vapotherm Inc."</f>
        <v>Vapotherm Inc.</v>
      </c>
      <c r="F521" s="12" t="str">
        <f>"100 Domain Drive"</f>
        <v>100 Domain Drive</v>
      </c>
      <c r="G521" s="12" t="str">
        <f>"US-NH 03833"</f>
        <v>US-NH 03833</v>
      </c>
      <c r="H521" s="12" t="str">
        <f>"Exeter"</f>
        <v>Exeter</v>
      </c>
      <c r="I521" s="12" t="str">
        <f>"KT005674"</f>
        <v>KT005674</v>
      </c>
      <c r="J521" s="12" t="str">
        <f>"AJW Technology Consulting GmbH"</f>
        <v>AJW Technology Consulting GmbH</v>
      </c>
      <c r="K521" s="12" t="str">
        <f>"Kreuzplatz 2"</f>
        <v>Kreuzplatz 2</v>
      </c>
      <c r="L521" s="12" t="str">
        <f>"CH-8032"</f>
        <v>CH-8032</v>
      </c>
      <c r="M521" s="12" t="str">
        <f>"Zürich"</f>
        <v>Zürich</v>
      </c>
      <c r="N521" s="12" t="str">
        <f>"CHRN-AR-20001796"</f>
        <v>CHRN-AR-20001796</v>
      </c>
      <c r="O521" s="12" t="str">
        <f>"KT001216"</f>
        <v>KT001216</v>
      </c>
      <c r="P521" s="13" t="str">
        <f>"Mediq Suisse AG"</f>
        <v>Mediq Suisse AG</v>
      </c>
    </row>
    <row r="522" spans="1:16" x14ac:dyDescent="0.15">
      <c r="A522" s="11" t="str">
        <f>"VAP-MP1500"</f>
        <v>VAP-MP1500</v>
      </c>
      <c r="B522" s="12" t="str">
        <f>"Vapotherm Kanüle kleine Erw./Kind, 2.7 mm, 5-40 l"</f>
        <v>Vapotherm Kanüle kleine Erw./Kind, 2.7 mm, 5-40 l</v>
      </c>
      <c r="C522" s="12" t="str">
        <f>"MDR Risikoklasse IIa"</f>
        <v>MDR Risikoklasse IIa</v>
      </c>
      <c r="D522" s="12" t="str">
        <f>"KO12883"</f>
        <v>KO12883</v>
      </c>
      <c r="E522" s="12" t="str">
        <f>"Vapotherm Inc."</f>
        <v>Vapotherm Inc.</v>
      </c>
      <c r="F522" s="12" t="str">
        <f>"100 Domain Drive"</f>
        <v>100 Domain Drive</v>
      </c>
      <c r="G522" s="12" t="str">
        <f>"US-NH 03833"</f>
        <v>US-NH 03833</v>
      </c>
      <c r="H522" s="12" t="str">
        <f>"Exeter"</f>
        <v>Exeter</v>
      </c>
      <c r="I522" s="12" t="str">
        <f>"KT005674"</f>
        <v>KT005674</v>
      </c>
      <c r="J522" s="12" t="str">
        <f>"AJW Technology Consulting GmbH"</f>
        <v>AJW Technology Consulting GmbH</v>
      </c>
      <c r="K522" s="12" t="str">
        <f>"Kreuzplatz 2"</f>
        <v>Kreuzplatz 2</v>
      </c>
      <c r="L522" s="12" t="str">
        <f>"CH-8032"</f>
        <v>CH-8032</v>
      </c>
      <c r="M522" s="12" t="str">
        <f>"Zürich"</f>
        <v>Zürich</v>
      </c>
      <c r="N522" s="12" t="str">
        <f>"CHRN-AR-20001796"</f>
        <v>CHRN-AR-20001796</v>
      </c>
      <c r="O522" s="12" t="str">
        <f>"KT001216"</f>
        <v>KT001216</v>
      </c>
      <c r="P522" s="13" t="str">
        <f>"Mediq Suisse AG"</f>
        <v>Mediq Suisse AG</v>
      </c>
    </row>
    <row r="523" spans="1:16" x14ac:dyDescent="0.15">
      <c r="A523" s="11" t="str">
        <f>"VAP-MPS1500"</f>
        <v>VAP-MPS1500</v>
      </c>
      <c r="B523" s="12" t="str">
        <f>"Vapotherm Kanüle Kind klein, 1.9 mm, 1-20 l"</f>
        <v>Vapotherm Kanüle Kind klein, 1.9 mm, 1-20 l</v>
      </c>
      <c r="C523" s="12" t="str">
        <f>"MDR Risikoklasse IIa"</f>
        <v>MDR Risikoklasse IIa</v>
      </c>
      <c r="D523" s="12" t="str">
        <f>"KO12883"</f>
        <v>KO12883</v>
      </c>
      <c r="E523" s="12" t="str">
        <f>"Vapotherm Inc."</f>
        <v>Vapotherm Inc.</v>
      </c>
      <c r="F523" s="12" t="str">
        <f>"100 Domain Drive"</f>
        <v>100 Domain Drive</v>
      </c>
      <c r="G523" s="12" t="str">
        <f>"US-NH 03833"</f>
        <v>US-NH 03833</v>
      </c>
      <c r="H523" s="12" t="str">
        <f>"Exeter"</f>
        <v>Exeter</v>
      </c>
      <c r="I523" s="12" t="str">
        <f>"KT005674"</f>
        <v>KT005674</v>
      </c>
      <c r="J523" s="12" t="str">
        <f>"AJW Technology Consulting GmbH"</f>
        <v>AJW Technology Consulting GmbH</v>
      </c>
      <c r="K523" s="12" t="str">
        <f>"Kreuzplatz 2"</f>
        <v>Kreuzplatz 2</v>
      </c>
      <c r="L523" s="12" t="str">
        <f>"CH-8032"</f>
        <v>CH-8032</v>
      </c>
      <c r="M523" s="12" t="str">
        <f>"Zürich"</f>
        <v>Zürich</v>
      </c>
      <c r="N523" s="12" t="str">
        <f>"CHRN-AR-20001796"</f>
        <v>CHRN-AR-20001796</v>
      </c>
      <c r="O523" s="12" t="str">
        <f>"KT001216"</f>
        <v>KT001216</v>
      </c>
      <c r="P523" s="13" t="str">
        <f>"Mediq Suisse AG"</f>
        <v>Mediq Suisse AG</v>
      </c>
    </row>
    <row r="524" spans="1:16" x14ac:dyDescent="0.15">
      <c r="A524" s="11" t="str">
        <f>"VAP-PF-ADPC-HIGH"</f>
        <v>VAP-PF-ADPC-HIGH</v>
      </c>
      <c r="B524" s="12" t="str">
        <f>"Aerosol DPC High Flow                 "</f>
        <v xml:space="preserve">Aerosol DPC High Flow                 </v>
      </c>
      <c r="C524" s="12" t="str">
        <f>"MDR Risikoklasse IIa"</f>
        <v>MDR Risikoklasse IIa</v>
      </c>
      <c r="D524" s="12" t="str">
        <f>"KO12883"</f>
        <v>KO12883</v>
      </c>
      <c r="E524" s="12" t="str">
        <f>"Vapotherm Inc."</f>
        <v>Vapotherm Inc.</v>
      </c>
      <c r="F524" s="12" t="str">
        <f>"100 Domain Drive"</f>
        <v>100 Domain Drive</v>
      </c>
      <c r="G524" s="12" t="str">
        <f>"US-NH 03833"</f>
        <v>US-NH 03833</v>
      </c>
      <c r="H524" s="12" t="str">
        <f>"Exeter"</f>
        <v>Exeter</v>
      </c>
      <c r="I524" s="12" t="str">
        <f>"KT005674"</f>
        <v>KT005674</v>
      </c>
      <c r="J524" s="12" t="str">
        <f>"AJW Technology Consulting GmbH"</f>
        <v>AJW Technology Consulting GmbH</v>
      </c>
      <c r="K524" s="12" t="str">
        <f>"Kreuzplatz 2"</f>
        <v>Kreuzplatz 2</v>
      </c>
      <c r="L524" s="12" t="str">
        <f>"CH-8032"</f>
        <v>CH-8032</v>
      </c>
      <c r="M524" s="12" t="str">
        <f>"Zürich"</f>
        <v>Zürich</v>
      </c>
      <c r="N524" s="12" t="str">
        <f>"CHRN-AR-20001796"</f>
        <v>CHRN-AR-20001796</v>
      </c>
      <c r="O524" s="12" t="str">
        <f>"KT001216"</f>
        <v>KT001216</v>
      </c>
      <c r="P524" s="13" t="str">
        <f>"Mediq Suisse AG"</f>
        <v>Mediq Suisse AG</v>
      </c>
    </row>
    <row r="525" spans="1:16" x14ac:dyDescent="0.15">
      <c r="A525" s="11" t="str">
        <f>"VAP-PF-ADPC-LOW"</f>
        <v>VAP-PF-ADPC-LOW</v>
      </c>
      <c r="B525" s="12" t="str">
        <f>"Aerosol DPC Low Flow                 "</f>
        <v xml:space="preserve">Aerosol DPC Low Flow                 </v>
      </c>
      <c r="C525" s="12" t="str">
        <f>"MDR Risikoklasse IIa"</f>
        <v>MDR Risikoklasse IIa</v>
      </c>
      <c r="D525" s="12" t="str">
        <f>"KO12883"</f>
        <v>KO12883</v>
      </c>
      <c r="E525" s="12" t="str">
        <f>"Vapotherm Inc."</f>
        <v>Vapotherm Inc.</v>
      </c>
      <c r="F525" s="12" t="str">
        <f>"100 Domain Drive"</f>
        <v>100 Domain Drive</v>
      </c>
      <c r="G525" s="12" t="str">
        <f>"US-NH 03833"</f>
        <v>US-NH 03833</v>
      </c>
      <c r="H525" s="12" t="str">
        <f>"Exeter"</f>
        <v>Exeter</v>
      </c>
      <c r="I525" s="12" t="str">
        <f>"KT005674"</f>
        <v>KT005674</v>
      </c>
      <c r="J525" s="12" t="str">
        <f>"AJW Technology Consulting GmbH"</f>
        <v>AJW Technology Consulting GmbH</v>
      </c>
      <c r="K525" s="12" t="str">
        <f>"Kreuzplatz 2"</f>
        <v>Kreuzplatz 2</v>
      </c>
      <c r="L525" s="12" t="str">
        <f>"CH-8032"</f>
        <v>CH-8032</v>
      </c>
      <c r="M525" s="12" t="str">
        <f>"Zürich"</f>
        <v>Zürich</v>
      </c>
      <c r="N525" s="12" t="str">
        <f>"CHRN-AR-20001796"</f>
        <v>CHRN-AR-20001796</v>
      </c>
      <c r="O525" s="12" t="str">
        <f>"KT001216"</f>
        <v>KT001216</v>
      </c>
      <c r="P525" s="13" t="str">
        <f>"Mediq Suisse AG"</f>
        <v>Mediq Suisse AG</v>
      </c>
    </row>
    <row r="526" spans="1:16" x14ac:dyDescent="0.15">
      <c r="A526" s="11" t="str">
        <f>"VAP-PF-DPC-HIGH"</f>
        <v>VAP-PF-DPC-HIGH</v>
      </c>
      <c r="B526" s="12" t="str">
        <f>"Vapotherm High Flow Einweg Patientenkreissystem"</f>
        <v>Vapotherm High Flow Einweg Patientenkreissystem</v>
      </c>
      <c r="C526" s="12" t="str">
        <f>"MDR Risikoklasse IIa"</f>
        <v>MDR Risikoklasse IIa</v>
      </c>
      <c r="D526" s="12" t="str">
        <f>"KO12883"</f>
        <v>KO12883</v>
      </c>
      <c r="E526" s="12" t="str">
        <f>"Vapotherm Inc."</f>
        <v>Vapotherm Inc.</v>
      </c>
      <c r="F526" s="12" t="str">
        <f>"100 Domain Drive"</f>
        <v>100 Domain Drive</v>
      </c>
      <c r="G526" s="12" t="str">
        <f>"US-NH 03833"</f>
        <v>US-NH 03833</v>
      </c>
      <c r="H526" s="12" t="str">
        <f>"Exeter"</f>
        <v>Exeter</v>
      </c>
      <c r="I526" s="12" t="str">
        <f>"KT005674"</f>
        <v>KT005674</v>
      </c>
      <c r="J526" s="12" t="str">
        <f>"AJW Technology Consulting GmbH"</f>
        <v>AJW Technology Consulting GmbH</v>
      </c>
      <c r="K526" s="12" t="str">
        <f>"Kreuzplatz 2"</f>
        <v>Kreuzplatz 2</v>
      </c>
      <c r="L526" s="12" t="str">
        <f>"CH-8032"</f>
        <v>CH-8032</v>
      </c>
      <c r="M526" s="12" t="str">
        <f>"Zürich"</f>
        <v>Zürich</v>
      </c>
      <c r="N526" s="12" t="str">
        <f>"CHRN-AR-20001796"</f>
        <v>CHRN-AR-20001796</v>
      </c>
      <c r="O526" s="12" t="str">
        <f>"KT001216"</f>
        <v>KT001216</v>
      </c>
      <c r="P526" s="13" t="str">
        <f>"Mediq Suisse AG"</f>
        <v>Mediq Suisse AG</v>
      </c>
    </row>
    <row r="527" spans="1:16" x14ac:dyDescent="0.15">
      <c r="A527" s="11" t="str">
        <f>"VAP-PF-DPC-LOW"</f>
        <v>VAP-PF-DPC-LOW</v>
      </c>
      <c r="B527" s="12" t="str">
        <f>"Vapotherm Low Flow Einweg Patientenkreissystem"</f>
        <v>Vapotherm Low Flow Einweg Patientenkreissystem</v>
      </c>
      <c r="C527" s="12" t="str">
        <f>"MDR Risikoklasse IIa"</f>
        <v>MDR Risikoklasse IIa</v>
      </c>
      <c r="D527" s="12" t="str">
        <f>"KO12883"</f>
        <v>KO12883</v>
      </c>
      <c r="E527" s="12" t="str">
        <f>"Vapotherm Inc."</f>
        <v>Vapotherm Inc.</v>
      </c>
      <c r="F527" s="12" t="str">
        <f>"100 Domain Drive"</f>
        <v>100 Domain Drive</v>
      </c>
      <c r="G527" s="12" t="str">
        <f>"US-NH 03833"</f>
        <v>US-NH 03833</v>
      </c>
      <c r="H527" s="12" t="str">
        <f>"Exeter"</f>
        <v>Exeter</v>
      </c>
      <c r="I527" s="12" t="str">
        <f>"KT005674"</f>
        <v>KT005674</v>
      </c>
      <c r="J527" s="12" t="str">
        <f>"AJW Technology Consulting GmbH"</f>
        <v>AJW Technology Consulting GmbH</v>
      </c>
      <c r="K527" s="12" t="str">
        <f>"Kreuzplatz 2"</f>
        <v>Kreuzplatz 2</v>
      </c>
      <c r="L527" s="12" t="str">
        <f>"CH-8032"</f>
        <v>CH-8032</v>
      </c>
      <c r="M527" s="12" t="str">
        <f>"Zürich"</f>
        <v>Zürich</v>
      </c>
      <c r="N527" s="12" t="str">
        <f>"CHRN-AR-20001796"</f>
        <v>CHRN-AR-20001796</v>
      </c>
      <c r="O527" s="12" t="str">
        <f>"KT001216"</f>
        <v>KT001216</v>
      </c>
      <c r="P527" s="13" t="str">
        <f>"Mediq Suisse AG"</f>
        <v>Mediq Suisse AG</v>
      </c>
    </row>
    <row r="528" spans="1:16" x14ac:dyDescent="0.15">
      <c r="A528" s="11" t="str">
        <f>"VAP-PFH-UNIT-EU"</f>
        <v>VAP-PFH-UNIT-EU</v>
      </c>
      <c r="B528" s="12" t="str">
        <f>"Vapotherm Precision Flow™ Heliox Andockstation"</f>
        <v>Vapotherm Precision Flow™ Heliox Andockstation</v>
      </c>
      <c r="C528" s="12" t="str">
        <f>"MDR Risikoklasse IIa"</f>
        <v>MDR Risikoklasse IIa</v>
      </c>
      <c r="D528" s="12" t="str">
        <f>"KO12883"</f>
        <v>KO12883</v>
      </c>
      <c r="E528" s="12" t="str">
        <f>"Vapotherm Inc."</f>
        <v>Vapotherm Inc.</v>
      </c>
      <c r="F528" s="12" t="str">
        <f>"100 Domain Drive"</f>
        <v>100 Domain Drive</v>
      </c>
      <c r="G528" s="12" t="str">
        <f>"US-NH 03833"</f>
        <v>US-NH 03833</v>
      </c>
      <c r="H528" s="12" t="str">
        <f>"Exeter"</f>
        <v>Exeter</v>
      </c>
      <c r="I528" s="12" t="str">
        <f>"KT005674"</f>
        <v>KT005674</v>
      </c>
      <c r="J528" s="12" t="str">
        <f>"AJW Technology Consulting GmbH"</f>
        <v>AJW Technology Consulting GmbH</v>
      </c>
      <c r="K528" s="12" t="str">
        <f>"Kreuzplatz 2"</f>
        <v>Kreuzplatz 2</v>
      </c>
      <c r="L528" s="12" t="str">
        <f>"CH-8032"</f>
        <v>CH-8032</v>
      </c>
      <c r="M528" s="12" t="str">
        <f>"Zürich"</f>
        <v>Zürich</v>
      </c>
      <c r="N528" s="12" t="str">
        <f>"CHRN-AR-20001796"</f>
        <v>CHRN-AR-20001796</v>
      </c>
      <c r="O528" s="12" t="str">
        <f>"KT001216"</f>
        <v>KT001216</v>
      </c>
      <c r="P528" s="13" t="str">
        <f>"Mediq Suisse AG"</f>
        <v>Mediq Suisse AG</v>
      </c>
    </row>
    <row r="529" spans="1:16" x14ac:dyDescent="0.15">
      <c r="A529" s="11" t="str">
        <f>"VAP-PF-NODPC-HIGH"</f>
        <v>VAP-PF-NODPC-HIGH</v>
      </c>
      <c r="B529" s="12" t="str">
        <f>"Nitric Oxide DPC High Flow Patientenkreissystem"</f>
        <v>Nitric Oxide DPC High Flow Patientenkreissystem</v>
      </c>
      <c r="C529" s="12" t="str">
        <f>"MDR Risikoklasse IIa"</f>
        <v>MDR Risikoklasse IIa</v>
      </c>
      <c r="D529" s="12" t="str">
        <f>"KO12883"</f>
        <v>KO12883</v>
      </c>
      <c r="E529" s="12" t="str">
        <f>"Vapotherm Inc."</f>
        <v>Vapotherm Inc.</v>
      </c>
      <c r="F529" s="12" t="str">
        <f>"100 Domain Drive"</f>
        <v>100 Domain Drive</v>
      </c>
      <c r="G529" s="12" t="str">
        <f>"US-NH 03833"</f>
        <v>US-NH 03833</v>
      </c>
      <c r="H529" s="12" t="str">
        <f>"Exeter"</f>
        <v>Exeter</v>
      </c>
      <c r="I529" s="12" t="str">
        <f>"KT005674"</f>
        <v>KT005674</v>
      </c>
      <c r="J529" s="12" t="str">
        <f>"AJW Technology Consulting GmbH"</f>
        <v>AJW Technology Consulting GmbH</v>
      </c>
      <c r="K529" s="12" t="str">
        <f>"Kreuzplatz 2"</f>
        <v>Kreuzplatz 2</v>
      </c>
      <c r="L529" s="12" t="str">
        <f>"CH-8032"</f>
        <v>CH-8032</v>
      </c>
      <c r="M529" s="12" t="str">
        <f>"Zürich"</f>
        <v>Zürich</v>
      </c>
      <c r="N529" s="12" t="str">
        <f>"CHRN-AR-20001796"</f>
        <v>CHRN-AR-20001796</v>
      </c>
      <c r="O529" s="12" t="str">
        <f>"KT001216"</f>
        <v>KT001216</v>
      </c>
      <c r="P529" s="13" t="str">
        <f>"Mediq Suisse AG"</f>
        <v>Mediq Suisse AG</v>
      </c>
    </row>
    <row r="530" spans="1:16" x14ac:dyDescent="0.15">
      <c r="A530" s="11" t="str">
        <f>"VAP-PF-NODPC-LOW"</f>
        <v>VAP-PF-NODPC-LOW</v>
      </c>
      <c r="B530" s="12" t="str">
        <f>"Nitric Oxide DPC Low Flow Patientenkreissystem"</f>
        <v>Nitric Oxide DPC Low Flow Patientenkreissystem</v>
      </c>
      <c r="C530" s="12" t="str">
        <f>"MDR Risikoklasse IIa"</f>
        <v>MDR Risikoklasse IIa</v>
      </c>
      <c r="D530" s="12" t="str">
        <f>"KO12883"</f>
        <v>KO12883</v>
      </c>
      <c r="E530" s="12" t="str">
        <f>"Vapotherm Inc."</f>
        <v>Vapotherm Inc.</v>
      </c>
      <c r="F530" s="12" t="str">
        <f>"100 Domain Drive"</f>
        <v>100 Domain Drive</v>
      </c>
      <c r="G530" s="12" t="str">
        <f>"US-NH 03833"</f>
        <v>US-NH 03833</v>
      </c>
      <c r="H530" s="12" t="str">
        <f>"Exeter"</f>
        <v>Exeter</v>
      </c>
      <c r="I530" s="12" t="str">
        <f>"KT005674"</f>
        <v>KT005674</v>
      </c>
      <c r="J530" s="12" t="str">
        <f>"AJW Technology Consulting GmbH"</f>
        <v>AJW Technology Consulting GmbH</v>
      </c>
      <c r="K530" s="12" t="str">
        <f>"Kreuzplatz 2"</f>
        <v>Kreuzplatz 2</v>
      </c>
      <c r="L530" s="12" t="str">
        <f>"CH-8032"</f>
        <v>CH-8032</v>
      </c>
      <c r="M530" s="12" t="str">
        <f>"Zürich"</f>
        <v>Zürich</v>
      </c>
      <c r="N530" s="12" t="str">
        <f>"CHRN-AR-20001796"</f>
        <v>CHRN-AR-20001796</v>
      </c>
      <c r="O530" s="12" t="str">
        <f>"KT001216"</f>
        <v>KT001216</v>
      </c>
      <c r="P530" s="13" t="str">
        <f>"Mediq Suisse AG"</f>
        <v>Mediq Suisse AG</v>
      </c>
    </row>
    <row r="531" spans="1:16" x14ac:dyDescent="0.15">
      <c r="A531" s="11" t="str">
        <f>"VAP-PF-OAM-MAS"</f>
        <v>VAP-PF-OAM-MAS</v>
      </c>
      <c r="B531" s="12" t="str">
        <f>"Vapotherm Oxygen Assist Module, Masimo"</f>
        <v>Vapotherm Oxygen Assist Module, Masimo</v>
      </c>
      <c r="C531" s="12" t="str">
        <f>"MDR Risikoklasse IIb"</f>
        <v>MDR Risikoklasse IIb</v>
      </c>
      <c r="D531" s="12" t="str">
        <f>"KO12883"</f>
        <v>KO12883</v>
      </c>
      <c r="E531" s="12" t="str">
        <f>"Vapotherm Inc."</f>
        <v>Vapotherm Inc.</v>
      </c>
      <c r="F531" s="12" t="str">
        <f>"100 Domain Drive"</f>
        <v>100 Domain Drive</v>
      </c>
      <c r="G531" s="12" t="str">
        <f>"US-NH 03833"</f>
        <v>US-NH 03833</v>
      </c>
      <c r="H531" s="12" t="str">
        <f>"Exeter"</f>
        <v>Exeter</v>
      </c>
      <c r="I531" s="12" t="str">
        <f>"KT005674"</f>
        <v>KT005674</v>
      </c>
      <c r="J531" s="12" t="str">
        <f>"AJW Technology Consulting GmbH"</f>
        <v>AJW Technology Consulting GmbH</v>
      </c>
      <c r="K531" s="12" t="str">
        <f>"Kreuzplatz 2"</f>
        <v>Kreuzplatz 2</v>
      </c>
      <c r="L531" s="12" t="str">
        <f>"CH-8032"</f>
        <v>CH-8032</v>
      </c>
      <c r="M531" s="12" t="str">
        <f>"Zürich"</f>
        <v>Zürich</v>
      </c>
      <c r="N531" s="12" t="str">
        <f>"CHRN-AR-20001796"</f>
        <v>CHRN-AR-20001796</v>
      </c>
      <c r="O531" s="12" t="str">
        <f>"KT001216"</f>
        <v>KT001216</v>
      </c>
      <c r="P531" s="13" t="str">
        <f>"Mediq Suisse AG"</f>
        <v>Mediq Suisse AG</v>
      </c>
    </row>
    <row r="532" spans="1:16" x14ac:dyDescent="0.15">
      <c r="A532" s="11" t="str">
        <f>"VAP-PF-OAM-NEL"</f>
        <v>VAP-PF-OAM-NEL</v>
      </c>
      <c r="B532" s="12" t="str">
        <f>"Vapotherm Oxygen Assist Module, Nelcor"</f>
        <v>Vapotherm Oxygen Assist Module, Nelcor</v>
      </c>
      <c r="C532" s="12" t="str">
        <f>"MDR Risikoklasse IIb"</f>
        <v>MDR Risikoklasse IIb</v>
      </c>
      <c r="D532" s="12" t="str">
        <f>"KO12883"</f>
        <v>KO12883</v>
      </c>
      <c r="E532" s="12" t="str">
        <f>"Vapotherm Inc."</f>
        <v>Vapotherm Inc.</v>
      </c>
      <c r="F532" s="12" t="str">
        <f>"100 Domain Drive"</f>
        <v>100 Domain Drive</v>
      </c>
      <c r="G532" s="12" t="str">
        <f>"US-NH 03833"</f>
        <v>US-NH 03833</v>
      </c>
      <c r="H532" s="12" t="str">
        <f>"Exeter"</f>
        <v>Exeter</v>
      </c>
      <c r="I532" s="12" t="str">
        <f>"KT005674"</f>
        <v>KT005674</v>
      </c>
      <c r="J532" s="12" t="str">
        <f>"AJW Technology Consulting GmbH"</f>
        <v>AJW Technology Consulting GmbH</v>
      </c>
      <c r="K532" s="12" t="str">
        <f>"Kreuzplatz 2"</f>
        <v>Kreuzplatz 2</v>
      </c>
      <c r="L532" s="12" t="str">
        <f>"CH-8032"</f>
        <v>CH-8032</v>
      </c>
      <c r="M532" s="12" t="str">
        <f>"Zürich"</f>
        <v>Zürich</v>
      </c>
      <c r="N532" s="12" t="str">
        <f>"CHRN-AR-20001796"</f>
        <v>CHRN-AR-20001796</v>
      </c>
      <c r="O532" s="12" t="str">
        <f>"KT001216"</f>
        <v>KT001216</v>
      </c>
      <c r="P532" s="13" t="str">
        <f>"Mediq Suisse AG"</f>
        <v>Mediq Suisse AG</v>
      </c>
    </row>
    <row r="533" spans="1:16" x14ac:dyDescent="0.15">
      <c r="A533" s="11" t="str">
        <f>"VAP-PF-STAND"</f>
        <v>VAP-PF-STAND</v>
      </c>
      <c r="B533" s="12" t="str">
        <f>"Vapotherm Precision Flow™ Ständer"</f>
        <v>Vapotherm Precision Flow™ Ständer</v>
      </c>
      <c r="C533" s="12" t="str">
        <f>"MDR Risikoklasse IIa"</f>
        <v>MDR Risikoklasse IIa</v>
      </c>
      <c r="D533" s="12" t="str">
        <f>"KO12883"</f>
        <v>KO12883</v>
      </c>
      <c r="E533" s="12" t="str">
        <f>"Vapotherm Inc."</f>
        <v>Vapotherm Inc.</v>
      </c>
      <c r="F533" s="12" t="str">
        <f>"100 Domain Drive"</f>
        <v>100 Domain Drive</v>
      </c>
      <c r="G533" s="12" t="str">
        <f>"US-NH 03833"</f>
        <v>US-NH 03833</v>
      </c>
      <c r="H533" s="12" t="str">
        <f>"Exeter"</f>
        <v>Exeter</v>
      </c>
      <c r="I533" s="12" t="str">
        <f>"KT005674"</f>
        <v>KT005674</v>
      </c>
      <c r="J533" s="12" t="str">
        <f>"AJW Technology Consulting GmbH"</f>
        <v>AJW Technology Consulting GmbH</v>
      </c>
      <c r="K533" s="12" t="str">
        <f>"Kreuzplatz 2"</f>
        <v>Kreuzplatz 2</v>
      </c>
      <c r="L533" s="12" t="str">
        <f>"CH-8032"</f>
        <v>CH-8032</v>
      </c>
      <c r="M533" s="12" t="str">
        <f>"Zürich"</f>
        <v>Zürich</v>
      </c>
      <c r="N533" s="12" t="str">
        <f>"CHRN-AR-20001796"</f>
        <v>CHRN-AR-20001796</v>
      </c>
      <c r="O533" s="12" t="str">
        <f>"KT001216"</f>
        <v>KT001216</v>
      </c>
      <c r="P533" s="13" t="str">
        <f>"Mediq Suisse AG"</f>
        <v>Mediq Suisse AG</v>
      </c>
    </row>
    <row r="534" spans="1:16" x14ac:dyDescent="0.15">
      <c r="A534" s="11" t="str">
        <f>"VAP-PF-UNIT"</f>
        <v>VAP-PF-UNIT</v>
      </c>
      <c r="B534" s="12" t="str">
        <f>"Vapotherm Precision Flow™ Andockstation"</f>
        <v>Vapotherm Precision Flow™ Andockstation</v>
      </c>
      <c r="C534" s="12" t="str">
        <f>"MDR Risikoklasse IIa"</f>
        <v>MDR Risikoklasse IIa</v>
      </c>
      <c r="D534" s="12" t="str">
        <f>"KO12883"</f>
        <v>KO12883</v>
      </c>
      <c r="E534" s="12" t="str">
        <f>"Vapotherm Inc."</f>
        <v>Vapotherm Inc.</v>
      </c>
      <c r="F534" s="12" t="str">
        <f>"100 Domain Drive"</f>
        <v>100 Domain Drive</v>
      </c>
      <c r="G534" s="12" t="str">
        <f>"US-NH 03833"</f>
        <v>US-NH 03833</v>
      </c>
      <c r="H534" s="12" t="str">
        <f>"Exeter"</f>
        <v>Exeter</v>
      </c>
      <c r="I534" s="12" t="str">
        <f>"KT005674"</f>
        <v>KT005674</v>
      </c>
      <c r="J534" s="12" t="str">
        <f>"AJW Technology Consulting GmbH"</f>
        <v>AJW Technology Consulting GmbH</v>
      </c>
      <c r="K534" s="12" t="str">
        <f>"Kreuzplatz 2"</f>
        <v>Kreuzplatz 2</v>
      </c>
      <c r="L534" s="12" t="str">
        <f>"CH-8032"</f>
        <v>CH-8032</v>
      </c>
      <c r="M534" s="12" t="str">
        <f>"Zürich"</f>
        <v>Zürich</v>
      </c>
      <c r="N534" s="12" t="str">
        <f>"CHRN-AR-20001796"</f>
        <v>CHRN-AR-20001796</v>
      </c>
      <c r="O534" s="12" t="str">
        <f>"KT001216"</f>
        <v>KT001216</v>
      </c>
      <c r="P534" s="13" t="str">
        <f>"Mediq Suisse AG"</f>
        <v>Mediq Suisse AG</v>
      </c>
    </row>
    <row r="535" spans="1:16" x14ac:dyDescent="0.15">
      <c r="A535" s="11" t="str">
        <f>"VAP-PF-UNIT-PLUS"</f>
        <v>VAP-PF-UNIT-PLUS</v>
      </c>
      <c r="B535" s="12" t="str">
        <f>"Vapotherm Precision Flow™ Plus"</f>
        <v>Vapotherm Precision Flow™ Plus</v>
      </c>
      <c r="C535" s="12" t="str">
        <f>"MDR Risikoklasse IIa"</f>
        <v>MDR Risikoklasse IIa</v>
      </c>
      <c r="D535" s="12" t="str">
        <f>"KO12883"</f>
        <v>KO12883</v>
      </c>
      <c r="E535" s="12" t="str">
        <f>"Vapotherm Inc."</f>
        <v>Vapotherm Inc.</v>
      </c>
      <c r="F535" s="12" t="str">
        <f>"100 Domain Drive"</f>
        <v>100 Domain Drive</v>
      </c>
      <c r="G535" s="12" t="str">
        <f>"US-NH 03833"</f>
        <v>US-NH 03833</v>
      </c>
      <c r="H535" s="12" t="str">
        <f>"Exeter"</f>
        <v>Exeter</v>
      </c>
      <c r="I535" s="12" t="str">
        <f>"KT005674"</f>
        <v>KT005674</v>
      </c>
      <c r="J535" s="12" t="str">
        <f>"AJW Technology Consulting GmbH"</f>
        <v>AJW Technology Consulting GmbH</v>
      </c>
      <c r="K535" s="12" t="str">
        <f>"Kreuzplatz 2"</f>
        <v>Kreuzplatz 2</v>
      </c>
      <c r="L535" s="12" t="str">
        <f>"CH-8032"</f>
        <v>CH-8032</v>
      </c>
      <c r="M535" s="12" t="str">
        <f>"Zürich"</f>
        <v>Zürich</v>
      </c>
      <c r="N535" s="12" t="str">
        <f>"CHRN-AR-20001796"</f>
        <v>CHRN-AR-20001796</v>
      </c>
      <c r="O535" s="12" t="str">
        <f>"KT001216"</f>
        <v>KT001216</v>
      </c>
      <c r="P535" s="13" t="str">
        <f>"Mediq Suisse AG"</f>
        <v>Mediq Suisse AG</v>
      </c>
    </row>
    <row r="536" spans="1:16" x14ac:dyDescent="0.15">
      <c r="A536" s="11" t="str">
        <f>"VAP-PF-WBA ."</f>
        <v>VAP-PF-WBA .</v>
      </c>
      <c r="B536" s="12" t="str">
        <f>"Precision Flow, Water Bottel Adapter (Entl.dornen)"</f>
        <v>Precision Flow, Water Bottel Adapter (Entl.dornen)</v>
      </c>
      <c r="C536" s="12" t="str">
        <f>"MDR Risikoklasse IIa"</f>
        <v>MDR Risikoklasse IIa</v>
      </c>
      <c r="D536" s="12" t="str">
        <f>"KO12883"</f>
        <v>KO12883</v>
      </c>
      <c r="E536" s="12" t="str">
        <f>"Vapotherm Inc."</f>
        <v>Vapotherm Inc.</v>
      </c>
      <c r="F536" s="12" t="str">
        <f>"100 Domain Drive"</f>
        <v>100 Domain Drive</v>
      </c>
      <c r="G536" s="12" t="str">
        <f>"US-NH 03833"</f>
        <v>US-NH 03833</v>
      </c>
      <c r="H536" s="12" t="str">
        <f>"Exeter"</f>
        <v>Exeter</v>
      </c>
      <c r="I536" s="12" t="str">
        <f>"KT005674"</f>
        <v>KT005674</v>
      </c>
      <c r="J536" s="12" t="str">
        <f>"AJW Technology Consulting GmbH"</f>
        <v>AJW Technology Consulting GmbH</v>
      </c>
      <c r="K536" s="12" t="str">
        <f>"Kreuzplatz 2"</f>
        <v>Kreuzplatz 2</v>
      </c>
      <c r="L536" s="12" t="str">
        <f>"CH-8032"</f>
        <v>CH-8032</v>
      </c>
      <c r="M536" s="12" t="str">
        <f>"Zürich"</f>
        <v>Zürich</v>
      </c>
      <c r="N536" s="12" t="str">
        <f>"CHRN-AR-20001796"</f>
        <v>CHRN-AR-20001796</v>
      </c>
      <c r="O536" s="12" t="str">
        <f>"KT001216"</f>
        <v>KT001216</v>
      </c>
      <c r="P536" s="13" t="str">
        <f>"Mediq Suisse AG"</f>
        <v>Mediq Suisse AG</v>
      </c>
    </row>
    <row r="537" spans="1:16" x14ac:dyDescent="0.15">
      <c r="A537" s="11" t="str">
        <f>"VAP-PROSOFT-ADULT"</f>
        <v>VAP-PROSOFT-ADULT</v>
      </c>
      <c r="B537" s="12" t="str">
        <f>"Adult Cannula"</f>
        <v>Adult Cannula</v>
      </c>
      <c r="C537" s="12" t="str">
        <f>"MDR Risikoklasse IIa"</f>
        <v>MDR Risikoklasse IIa</v>
      </c>
      <c r="D537" s="12" t="str">
        <f>"KO12883"</f>
        <v>KO12883</v>
      </c>
      <c r="E537" s="12" t="str">
        <f>"Vapotherm Inc."</f>
        <v>Vapotherm Inc.</v>
      </c>
      <c r="F537" s="12" t="str">
        <f>"100 Domain Drive"</f>
        <v>100 Domain Drive</v>
      </c>
      <c r="G537" s="12" t="str">
        <f>"US-NH 03833"</f>
        <v>US-NH 03833</v>
      </c>
      <c r="H537" s="12" t="str">
        <f>"Exeter"</f>
        <v>Exeter</v>
      </c>
      <c r="I537" s="12" t="str">
        <f>"KT005674"</f>
        <v>KT005674</v>
      </c>
      <c r="J537" s="12" t="str">
        <f>"AJW Technology Consulting GmbH"</f>
        <v>AJW Technology Consulting GmbH</v>
      </c>
      <c r="K537" s="12" t="str">
        <f>"Kreuzplatz 2"</f>
        <v>Kreuzplatz 2</v>
      </c>
      <c r="L537" s="12" t="str">
        <f>"CH-8032"</f>
        <v>CH-8032</v>
      </c>
      <c r="M537" s="12" t="str">
        <f>"Zürich"</f>
        <v>Zürich</v>
      </c>
      <c r="N537" s="12" t="str">
        <f>"CHRN-AR-20001796"</f>
        <v>CHRN-AR-20001796</v>
      </c>
      <c r="O537" s="12" t="str">
        <f>"KT001216"</f>
        <v>KT001216</v>
      </c>
      <c r="P537" s="13" t="str">
        <f>"Mediq Suisse AG"</f>
        <v>Mediq Suisse AG</v>
      </c>
    </row>
    <row r="538" spans="1:16" x14ac:dyDescent="0.15">
      <c r="A538" s="11" t="str">
        <f>"VAP-PROSOFT-INF"</f>
        <v>VAP-PROSOFT-INF</v>
      </c>
      <c r="B538" s="12" t="str">
        <f>"Infant Cannula"</f>
        <v>Infant Cannula</v>
      </c>
      <c r="C538" s="12" t="str">
        <f>"MDR Risikoklasse IIa"</f>
        <v>MDR Risikoklasse IIa</v>
      </c>
      <c r="D538" s="12" t="str">
        <f>"KO12883"</f>
        <v>KO12883</v>
      </c>
      <c r="E538" s="12" t="str">
        <f>"Vapotherm Inc."</f>
        <v>Vapotherm Inc.</v>
      </c>
      <c r="F538" s="12" t="str">
        <f>"100 Domain Drive"</f>
        <v>100 Domain Drive</v>
      </c>
      <c r="G538" s="12" t="str">
        <f>"US-NH 03833"</f>
        <v>US-NH 03833</v>
      </c>
      <c r="H538" s="12" t="str">
        <f>"Exeter"</f>
        <v>Exeter</v>
      </c>
      <c r="I538" s="12" t="str">
        <f>"KT005674"</f>
        <v>KT005674</v>
      </c>
      <c r="J538" s="12" t="str">
        <f>"AJW Technology Consulting GmbH"</f>
        <v>AJW Technology Consulting GmbH</v>
      </c>
      <c r="K538" s="12" t="str">
        <f>"Kreuzplatz 2"</f>
        <v>Kreuzplatz 2</v>
      </c>
      <c r="L538" s="12" t="str">
        <f>"CH-8032"</f>
        <v>CH-8032</v>
      </c>
      <c r="M538" s="12" t="str">
        <f>"Zürich"</f>
        <v>Zürich</v>
      </c>
      <c r="N538" s="12" t="str">
        <f>"CHRN-AR-20001796"</f>
        <v>CHRN-AR-20001796</v>
      </c>
      <c r="O538" s="12" t="str">
        <f>"KT001216"</f>
        <v>KT001216</v>
      </c>
      <c r="P538" s="13" t="str">
        <f>"Mediq Suisse AG"</f>
        <v>Mediq Suisse AG</v>
      </c>
    </row>
    <row r="539" spans="1:16" x14ac:dyDescent="0.15">
      <c r="A539" s="11" t="str">
        <f>"VAP-PROSOFT-INT-INF"</f>
        <v>VAP-PROSOFT-INT-INF</v>
      </c>
      <c r="B539" s="12" t="str">
        <f>"Intermediate Infant Cannula"</f>
        <v>Intermediate Infant Cannula</v>
      </c>
      <c r="C539" s="12" t="str">
        <f>"MDR Risikoklasse IIa"</f>
        <v>MDR Risikoklasse IIa</v>
      </c>
      <c r="D539" s="12" t="str">
        <f>"KO12883"</f>
        <v>KO12883</v>
      </c>
      <c r="E539" s="12" t="str">
        <f>"Vapotherm Inc."</f>
        <v>Vapotherm Inc.</v>
      </c>
      <c r="F539" s="12" t="str">
        <f>"100 Domain Drive"</f>
        <v>100 Domain Drive</v>
      </c>
      <c r="G539" s="12" t="str">
        <f>"US-NH 03833"</f>
        <v>US-NH 03833</v>
      </c>
      <c r="H539" s="12" t="str">
        <f>"Exeter"</f>
        <v>Exeter</v>
      </c>
      <c r="I539" s="12" t="str">
        <f>"KT005674"</f>
        <v>KT005674</v>
      </c>
      <c r="J539" s="12" t="str">
        <f>"AJW Technology Consulting GmbH"</f>
        <v>AJW Technology Consulting GmbH</v>
      </c>
      <c r="K539" s="12" t="str">
        <f>"Kreuzplatz 2"</f>
        <v>Kreuzplatz 2</v>
      </c>
      <c r="L539" s="12" t="str">
        <f>"CH-8032"</f>
        <v>CH-8032</v>
      </c>
      <c r="M539" s="12" t="str">
        <f>"Zürich"</f>
        <v>Zürich</v>
      </c>
      <c r="N539" s="12" t="str">
        <f>"CHRN-AR-20001796"</f>
        <v>CHRN-AR-20001796</v>
      </c>
      <c r="O539" s="12" t="str">
        <f>"KT001216"</f>
        <v>KT001216</v>
      </c>
      <c r="P539" s="13" t="str">
        <f>"Mediq Suisse AG"</f>
        <v>Mediq Suisse AG</v>
      </c>
    </row>
    <row r="540" spans="1:16" x14ac:dyDescent="0.15">
      <c r="A540" s="11" t="str">
        <f>"VAP-PROSOFT-NEO"</f>
        <v>VAP-PROSOFT-NEO</v>
      </c>
      <c r="B540" s="12" t="str">
        <f>"Neonate Cannula"</f>
        <v>Neonate Cannula</v>
      </c>
      <c r="C540" s="12" t="str">
        <f>"MDR Risikoklasse IIa"</f>
        <v>MDR Risikoklasse IIa</v>
      </c>
      <c r="D540" s="12" t="str">
        <f>"KO12883"</f>
        <v>KO12883</v>
      </c>
      <c r="E540" s="12" t="str">
        <f>"Vapotherm Inc."</f>
        <v>Vapotherm Inc.</v>
      </c>
      <c r="F540" s="12" t="str">
        <f>"100 Domain Drive"</f>
        <v>100 Domain Drive</v>
      </c>
      <c r="G540" s="12" t="str">
        <f>"US-NH 03833"</f>
        <v>US-NH 03833</v>
      </c>
      <c r="H540" s="12" t="str">
        <f>"Exeter"</f>
        <v>Exeter</v>
      </c>
      <c r="I540" s="12" t="str">
        <f>"KT005674"</f>
        <v>KT005674</v>
      </c>
      <c r="J540" s="12" t="str">
        <f>"AJW Technology Consulting GmbH"</f>
        <v>AJW Technology Consulting GmbH</v>
      </c>
      <c r="K540" s="12" t="str">
        <f>"Kreuzplatz 2"</f>
        <v>Kreuzplatz 2</v>
      </c>
      <c r="L540" s="12" t="str">
        <f>"CH-8032"</f>
        <v>CH-8032</v>
      </c>
      <c r="M540" s="12" t="str">
        <f>"Zürich"</f>
        <v>Zürich</v>
      </c>
      <c r="N540" s="12" t="str">
        <f>"CHRN-AR-20001796"</f>
        <v>CHRN-AR-20001796</v>
      </c>
      <c r="O540" s="12" t="str">
        <f>"KT001216"</f>
        <v>KT001216</v>
      </c>
      <c r="P540" s="13" t="str">
        <f>"Mediq Suisse AG"</f>
        <v>Mediq Suisse AG</v>
      </c>
    </row>
    <row r="541" spans="1:16" x14ac:dyDescent="0.15">
      <c r="A541" s="11" t="str">
        <f>"VAP-PROSOFT-PED-AS"</f>
        <v>VAP-PROSOFT-PED-AS</v>
      </c>
      <c r="B541" s="12" t="str">
        <f>"Adult Small/Pediatric Cannula"</f>
        <v>Adult Small/Pediatric Cannula</v>
      </c>
      <c r="C541" s="12" t="str">
        <f>"MDR Risikoklasse IIa"</f>
        <v>MDR Risikoklasse IIa</v>
      </c>
      <c r="D541" s="12" t="str">
        <f>"KO12883"</f>
        <v>KO12883</v>
      </c>
      <c r="E541" s="12" t="str">
        <f>"Vapotherm Inc."</f>
        <v>Vapotherm Inc.</v>
      </c>
      <c r="F541" s="12" t="str">
        <f>"100 Domain Drive"</f>
        <v>100 Domain Drive</v>
      </c>
      <c r="G541" s="12" t="str">
        <f>"US-NH 03833"</f>
        <v>US-NH 03833</v>
      </c>
      <c r="H541" s="12" t="str">
        <f>"Exeter"</f>
        <v>Exeter</v>
      </c>
      <c r="I541" s="12" t="str">
        <f>"KT005674"</f>
        <v>KT005674</v>
      </c>
      <c r="J541" s="12" t="str">
        <f>"AJW Technology Consulting GmbH"</f>
        <v>AJW Technology Consulting GmbH</v>
      </c>
      <c r="K541" s="12" t="str">
        <f>"Kreuzplatz 2"</f>
        <v>Kreuzplatz 2</v>
      </c>
      <c r="L541" s="12" t="str">
        <f>"CH-8032"</f>
        <v>CH-8032</v>
      </c>
      <c r="M541" s="12" t="str">
        <f>"Zürich"</f>
        <v>Zürich</v>
      </c>
      <c r="N541" s="12" t="str">
        <f>"CHRN-AR-20001796"</f>
        <v>CHRN-AR-20001796</v>
      </c>
      <c r="O541" s="12" t="str">
        <f>"KT001216"</f>
        <v>KT001216</v>
      </c>
      <c r="P541" s="13" t="str">
        <f>"Mediq Suisse AG"</f>
        <v>Mediq Suisse AG</v>
      </c>
    </row>
    <row r="542" spans="1:16" x14ac:dyDescent="0.15">
      <c r="A542" s="11" t="str">
        <f>"VAP-PROSOFT-PED-S"</f>
        <v>VAP-PROSOFT-PED-S</v>
      </c>
      <c r="B542" s="12" t="str">
        <f>"Pediatric Small Cannula"</f>
        <v>Pediatric Small Cannula</v>
      </c>
      <c r="C542" s="12" t="str">
        <f>"MDR Risikoklasse IIa"</f>
        <v>MDR Risikoklasse IIa</v>
      </c>
      <c r="D542" s="12" t="str">
        <f>"KO12883"</f>
        <v>KO12883</v>
      </c>
      <c r="E542" s="12" t="str">
        <f>"Vapotherm Inc."</f>
        <v>Vapotherm Inc.</v>
      </c>
      <c r="F542" s="12" t="str">
        <f>"100 Domain Drive"</f>
        <v>100 Domain Drive</v>
      </c>
      <c r="G542" s="12" t="str">
        <f>"US-NH 03833"</f>
        <v>US-NH 03833</v>
      </c>
      <c r="H542" s="12" t="str">
        <f>"Exeter"</f>
        <v>Exeter</v>
      </c>
      <c r="I542" s="12" t="str">
        <f>"KT005674"</f>
        <v>KT005674</v>
      </c>
      <c r="J542" s="12" t="str">
        <f>"AJW Technology Consulting GmbH"</f>
        <v>AJW Technology Consulting GmbH</v>
      </c>
      <c r="K542" s="12" t="str">
        <f>"Kreuzplatz 2"</f>
        <v>Kreuzplatz 2</v>
      </c>
      <c r="L542" s="12" t="str">
        <f>"CH-8032"</f>
        <v>CH-8032</v>
      </c>
      <c r="M542" s="12" t="str">
        <f>"Zürich"</f>
        <v>Zürich</v>
      </c>
      <c r="N542" s="12" t="str">
        <f>"CHRN-AR-20001796"</f>
        <v>CHRN-AR-20001796</v>
      </c>
      <c r="O542" s="12" t="str">
        <f>"KT001216"</f>
        <v>KT001216</v>
      </c>
      <c r="P542" s="13" t="str">
        <f>"Mediq Suisse AG"</f>
        <v>Mediq Suisse AG</v>
      </c>
    </row>
    <row r="543" spans="1:16" x14ac:dyDescent="0.15">
      <c r="A543" s="11" t="str">
        <f>"VAP-PROSOFT-PRE"</f>
        <v>VAP-PROSOFT-PRE</v>
      </c>
      <c r="B543" s="12" t="str">
        <f>"Premature Cannula"</f>
        <v>Premature Cannula</v>
      </c>
      <c r="C543" s="12" t="str">
        <f>"MDR Risikoklasse IIa"</f>
        <v>MDR Risikoklasse IIa</v>
      </c>
      <c r="D543" s="12" t="str">
        <f>"KO12883"</f>
        <v>KO12883</v>
      </c>
      <c r="E543" s="12" t="str">
        <f>"Vapotherm Inc."</f>
        <v>Vapotherm Inc.</v>
      </c>
      <c r="F543" s="12" t="str">
        <f>"100 Domain Drive"</f>
        <v>100 Domain Drive</v>
      </c>
      <c r="G543" s="12" t="str">
        <f>"US-NH 03833"</f>
        <v>US-NH 03833</v>
      </c>
      <c r="H543" s="12" t="str">
        <f>"Exeter"</f>
        <v>Exeter</v>
      </c>
      <c r="I543" s="12" t="str">
        <f>"KT005674"</f>
        <v>KT005674</v>
      </c>
      <c r="J543" s="12" t="str">
        <f>"AJW Technology Consulting GmbH"</f>
        <v>AJW Technology Consulting GmbH</v>
      </c>
      <c r="K543" s="12" t="str">
        <f>"Kreuzplatz 2"</f>
        <v>Kreuzplatz 2</v>
      </c>
      <c r="L543" s="12" t="str">
        <f>"CH-8032"</f>
        <v>CH-8032</v>
      </c>
      <c r="M543" s="12" t="str">
        <f>"Zürich"</f>
        <v>Zürich</v>
      </c>
      <c r="N543" s="12" t="str">
        <f>"CHRN-AR-20001796"</f>
        <v>CHRN-AR-20001796</v>
      </c>
      <c r="O543" s="12" t="str">
        <f>"KT001216"</f>
        <v>KT001216</v>
      </c>
      <c r="P543" s="13" t="str">
        <f>"Mediq Suisse AG"</f>
        <v>Mediq Suisse AG</v>
      </c>
    </row>
    <row r="544" spans="1:16" x14ac:dyDescent="0.15">
      <c r="A544" s="11" t="str">
        <f>"VAP-PROSOFT-XL"</f>
        <v>VAP-PROSOFT-XL</v>
      </c>
      <c r="B544" s="12" t="str">
        <f>"Adult Long Cannula"</f>
        <v>Adult Long Cannula</v>
      </c>
      <c r="C544" s="12" t="str">
        <f>"MDR Risikoklasse IIa"</f>
        <v>MDR Risikoklasse IIa</v>
      </c>
      <c r="D544" s="12" t="str">
        <f>"KO12883"</f>
        <v>KO12883</v>
      </c>
      <c r="E544" s="12" t="str">
        <f>"Vapotherm Inc."</f>
        <v>Vapotherm Inc.</v>
      </c>
      <c r="F544" s="12" t="str">
        <f>"100 Domain Drive"</f>
        <v>100 Domain Drive</v>
      </c>
      <c r="G544" s="12" t="str">
        <f>"US-NH 03833"</f>
        <v>US-NH 03833</v>
      </c>
      <c r="H544" s="12" t="str">
        <f>"Exeter"</f>
        <v>Exeter</v>
      </c>
      <c r="I544" s="12" t="str">
        <f>"KT005674"</f>
        <v>KT005674</v>
      </c>
      <c r="J544" s="12" t="str">
        <f>"AJW Technology Consulting GmbH"</f>
        <v>AJW Technology Consulting GmbH</v>
      </c>
      <c r="K544" s="12" t="str">
        <f>"Kreuzplatz 2"</f>
        <v>Kreuzplatz 2</v>
      </c>
      <c r="L544" s="12" t="str">
        <f>"CH-8032"</f>
        <v>CH-8032</v>
      </c>
      <c r="M544" s="12" t="str">
        <f>"Zürich"</f>
        <v>Zürich</v>
      </c>
      <c r="N544" s="12" t="str">
        <f>"CHRN-AR-20001796"</f>
        <v>CHRN-AR-20001796</v>
      </c>
      <c r="O544" s="12" t="str">
        <f>"KT001216"</f>
        <v>KT001216</v>
      </c>
      <c r="P544" s="13" t="str">
        <f>"Mediq Suisse AG"</f>
        <v>Mediq Suisse AG</v>
      </c>
    </row>
    <row r="545" spans="1:16" x14ac:dyDescent="0.15">
      <c r="A545" s="11" t="str">
        <f>"VAP-SOLO1300"</f>
        <v>VAP-SOLO1300</v>
      </c>
      <c r="B545" s="12" t="str">
        <f>"Vapotherm Kanüle Solo, Säugl./Baby, 1.9 mm, 1-8 l"</f>
        <v>Vapotherm Kanüle Solo, Säugl./Baby, 1.9 mm, 1-8 l</v>
      </c>
      <c r="C545" s="12" t="str">
        <f>"MDR Risikoklasse IIa"</f>
        <v>MDR Risikoklasse IIa</v>
      </c>
      <c r="D545" s="12" t="str">
        <f>"KO12883"</f>
        <v>KO12883</v>
      </c>
      <c r="E545" s="12" t="str">
        <f>"Vapotherm Inc."</f>
        <v>Vapotherm Inc.</v>
      </c>
      <c r="F545" s="12" t="str">
        <f>"100 Domain Drive"</f>
        <v>100 Domain Drive</v>
      </c>
      <c r="G545" s="12" t="str">
        <f>"US-NH 03833"</f>
        <v>US-NH 03833</v>
      </c>
      <c r="H545" s="12" t="str">
        <f>"Exeter"</f>
        <v>Exeter</v>
      </c>
      <c r="I545" s="12" t="str">
        <f>"KT005674"</f>
        <v>KT005674</v>
      </c>
      <c r="J545" s="12" t="str">
        <f>"AJW Technology Consulting GmbH"</f>
        <v>AJW Technology Consulting GmbH</v>
      </c>
      <c r="K545" s="12" t="str">
        <f>"Kreuzplatz 2"</f>
        <v>Kreuzplatz 2</v>
      </c>
      <c r="L545" s="12" t="str">
        <f>"CH-8032"</f>
        <v>CH-8032</v>
      </c>
      <c r="M545" s="12" t="str">
        <f>"Zürich"</f>
        <v>Zürich</v>
      </c>
      <c r="N545" s="12" t="str">
        <f>"CHRN-AR-20001796"</f>
        <v>CHRN-AR-20001796</v>
      </c>
      <c r="O545" s="12" t="str">
        <f>"KT001216"</f>
        <v>KT001216</v>
      </c>
      <c r="P545" s="13" t="str">
        <f>"Mediq Suisse AG"</f>
        <v>Mediq Suisse AG</v>
      </c>
    </row>
    <row r="546" spans="1:16" x14ac:dyDescent="0.15">
      <c r="A546" s="11" t="str">
        <f>"VAP-TA-22E"</f>
        <v>VAP-TA-22E</v>
      </c>
      <c r="B546" s="12" t="str">
        <f>"Tubing Adapter, 22mm ID"</f>
        <v>Tubing Adapter, 22mm ID</v>
      </c>
      <c r="C546" s="12" t="str">
        <f>"MDR Risikoklasse IIa"</f>
        <v>MDR Risikoklasse IIa</v>
      </c>
      <c r="D546" s="12" t="str">
        <f>"KO12883"</f>
        <v>KO12883</v>
      </c>
      <c r="E546" s="12" t="str">
        <f>"Vapotherm Inc."</f>
        <v>Vapotherm Inc.</v>
      </c>
      <c r="F546" s="12" t="str">
        <f>"100 Domain Drive"</f>
        <v>100 Domain Drive</v>
      </c>
      <c r="G546" s="12" t="str">
        <f>"US-NH 03833"</f>
        <v>US-NH 03833</v>
      </c>
      <c r="H546" s="12" t="str">
        <f>"Exeter"</f>
        <v>Exeter</v>
      </c>
      <c r="I546" s="12" t="str">
        <f>"KT005674"</f>
        <v>KT005674</v>
      </c>
      <c r="J546" s="12" t="str">
        <f>"AJW Technology Consulting GmbH"</f>
        <v>AJW Technology Consulting GmbH</v>
      </c>
      <c r="K546" s="12" t="str">
        <f>"Kreuzplatz 2"</f>
        <v>Kreuzplatz 2</v>
      </c>
      <c r="L546" s="12" t="str">
        <f>"CH-8032"</f>
        <v>CH-8032</v>
      </c>
      <c r="M546" s="12" t="str">
        <f>"Zürich"</f>
        <v>Zürich</v>
      </c>
      <c r="N546" s="12" t="str">
        <f>"CHRN-AR-20001796"</f>
        <v>CHRN-AR-20001796</v>
      </c>
      <c r="O546" s="12" t="str">
        <f>"KT001216"</f>
        <v>KT001216</v>
      </c>
      <c r="P546" s="13" t="str">
        <f>"Mediq Suisse AG"</f>
        <v>Mediq Suisse AG</v>
      </c>
    </row>
    <row r="547" spans="1:16" x14ac:dyDescent="0.15">
      <c r="A547" s="11" t="str">
        <f>"WEL-95150-B10"</f>
        <v>WEL-95150-B10</v>
      </c>
      <c r="B547" s="12" t="str">
        <f>"UCS Vlies 20x20cm - Box 10"</f>
        <v>UCS Vlies 20x20cm - Box 10</v>
      </c>
      <c r="C547" s="12" t="str">
        <f>"MDR Risikoklasse IIb"</f>
        <v>MDR Risikoklasse IIb</v>
      </c>
      <c r="D547" s="12" t="str">
        <f>"KT004914"</f>
        <v>KT004914</v>
      </c>
      <c r="E547" s="12" t="str">
        <f>"Welcare Industries S.p.a"</f>
        <v>Welcare Industries S.p.a</v>
      </c>
      <c r="F547" s="12" t="str">
        <f>"via dei Falegnami, 7"</f>
        <v>via dei Falegnami, 7</v>
      </c>
      <c r="G547" s="12" t="str">
        <f>"IT-050180"</f>
        <v>IT-050180</v>
      </c>
      <c r="H547" s="12" t="str">
        <f>"Orvieto"</f>
        <v>Orvieto</v>
      </c>
      <c r="I547" s="12" t="str">
        <f>"KT005639"</f>
        <v>KT005639</v>
      </c>
      <c r="J547" s="12" t="str">
        <f>"KB Company SAGL"</f>
        <v>KB Company SAGL</v>
      </c>
      <c r="K547" s="12" t="str">
        <f>"Via San Gottardo 80"</f>
        <v>Via San Gottardo 80</v>
      </c>
      <c r="L547" s="12" t="str">
        <f>"CH-6900"</f>
        <v>CH-6900</v>
      </c>
      <c r="M547" s="12" t="str">
        <f>"Massagno"</f>
        <v>Massagno</v>
      </c>
      <c r="N547" s="12" t="str">
        <f>"CHRN-AR-20001891"</f>
        <v>CHRN-AR-20001891</v>
      </c>
      <c r="O547" s="12" t="str">
        <f>"KT001216"</f>
        <v>KT001216</v>
      </c>
      <c r="P547" s="13" t="str">
        <f>"Mediq Suisse AG"</f>
        <v>Mediq Suisse AG</v>
      </c>
    </row>
    <row r="548" spans="1:16" x14ac:dyDescent="0.15">
      <c r="A548" s="11" t="str">
        <f>"WEL-95150-D30"</f>
        <v>WEL-95150-D30</v>
      </c>
      <c r="B548" s="12" t="str">
        <f>"UCS Vlies|20x20cm|steril"</f>
        <v>UCS Vlies|20x20cm|steril</v>
      </c>
      <c r="C548" s="12" t="str">
        <f>"MDR Risikoklasse IIb"</f>
        <v>MDR Risikoklasse IIb</v>
      </c>
      <c r="D548" s="12" t="str">
        <f>"KT004914"</f>
        <v>KT004914</v>
      </c>
      <c r="E548" s="12" t="str">
        <f>"Welcare Industries S.p.a"</f>
        <v>Welcare Industries S.p.a</v>
      </c>
      <c r="F548" s="12" t="str">
        <f>"via dei Falegnami, 7"</f>
        <v>via dei Falegnami, 7</v>
      </c>
      <c r="G548" s="12" t="str">
        <f>"IT-050180"</f>
        <v>IT-050180</v>
      </c>
      <c r="H548" s="12" t="str">
        <f>"Orvieto"</f>
        <v>Orvieto</v>
      </c>
      <c r="I548" s="12" t="str">
        <f>"KT005639"</f>
        <v>KT005639</v>
      </c>
      <c r="J548" s="12" t="str">
        <f>"KB Company SAGL"</f>
        <v>KB Company SAGL</v>
      </c>
      <c r="K548" s="12" t="str">
        <f>"Via San Gottardo 80"</f>
        <v>Via San Gottardo 80</v>
      </c>
      <c r="L548" s="12" t="str">
        <f>"CH-6900"</f>
        <v>CH-6900</v>
      </c>
      <c r="M548" s="12" t="str">
        <f>"Massagno"</f>
        <v>Massagno</v>
      </c>
      <c r="N548" s="12" t="str">
        <f>"CHRN-AR-20001891"</f>
        <v>CHRN-AR-20001891</v>
      </c>
      <c r="O548" s="12" t="str">
        <f>"KT001216"</f>
        <v>KT001216</v>
      </c>
      <c r="P548" s="13" t="str">
        <f>"Mediq Suisse AG"</f>
        <v>Mediq Suisse AG</v>
      </c>
    </row>
    <row r="549" spans="1:16" x14ac:dyDescent="0.15">
      <c r="A549" s="11" t="str">
        <f>"WEL-95200"</f>
        <v>WEL-95200</v>
      </c>
      <c r="B549" s="12" t="str">
        <f>"Sinaqua Shampoo Cap"</f>
        <v>Sinaqua Shampoo Cap</v>
      </c>
      <c r="C549" s="12" t="str">
        <f>"MDR Risikoklasse I"</f>
        <v>MDR Risikoklasse I</v>
      </c>
      <c r="D549" s="12" t="str">
        <f>"KT004914"</f>
        <v>KT004914</v>
      </c>
      <c r="E549" s="12" t="str">
        <f>"Welcare Industries S.p.a"</f>
        <v>Welcare Industries S.p.a</v>
      </c>
      <c r="F549" s="12" t="str">
        <f>"via dei Falegnami, 7"</f>
        <v>via dei Falegnami, 7</v>
      </c>
      <c r="G549" s="12" t="str">
        <f>"IT-050180"</f>
        <v>IT-050180</v>
      </c>
      <c r="H549" s="12" t="str">
        <f>"Orvieto"</f>
        <v>Orvieto</v>
      </c>
      <c r="I549" s="12" t="str">
        <f>"KT005639"</f>
        <v>KT005639</v>
      </c>
      <c r="J549" s="12" t="str">
        <f>"KB Company SAGL"</f>
        <v>KB Company SAGL</v>
      </c>
      <c r="K549" s="12" t="str">
        <f>"Via San Gottardo 80"</f>
        <v>Via San Gottardo 80</v>
      </c>
      <c r="L549" s="12" t="str">
        <f>"CH-6900"</f>
        <v>CH-6900</v>
      </c>
      <c r="M549" s="12" t="str">
        <f>"Massagno"</f>
        <v>Massagno</v>
      </c>
      <c r="N549" s="12" t="str">
        <f>"CHRN-AR-20001891"</f>
        <v>CHRN-AR-20001891</v>
      </c>
      <c r="O549" s="12" t="str">
        <f>"KT001216"</f>
        <v>KT001216</v>
      </c>
      <c r="P549" s="13" t="str">
        <f>"Mediq Suisse AG"</f>
        <v>Mediq Suisse AG</v>
      </c>
    </row>
    <row r="550" spans="1:16" x14ac:dyDescent="0.15">
      <c r="A550" s="11" t="str">
        <f>"WEL-95255S"</f>
        <v>WEL-95255S</v>
      </c>
      <c r="B550" s="12" t="str">
        <f>"Eye-Giene Vlies Augenverband|14x15cm|steril"</f>
        <v>Eye-Giene Vlies Augenverband|14x15cm|steril</v>
      </c>
      <c r="C550" s="12" t="str">
        <f>"MDR Risikoklasse Is"</f>
        <v>MDR Risikoklasse Is</v>
      </c>
      <c r="D550" s="12" t="str">
        <f>"KT004914"</f>
        <v>KT004914</v>
      </c>
      <c r="E550" s="12" t="str">
        <f>"Welcare Industries S.p.a"</f>
        <v>Welcare Industries S.p.a</v>
      </c>
      <c r="F550" s="12" t="str">
        <f>"via dei Falegnami, 7"</f>
        <v>via dei Falegnami, 7</v>
      </c>
      <c r="G550" s="12" t="str">
        <f>"IT-050180"</f>
        <v>IT-050180</v>
      </c>
      <c r="H550" s="12" t="str">
        <f>"Orvieto"</f>
        <v>Orvieto</v>
      </c>
      <c r="I550" s="12" t="str">
        <f>"KT005639"</f>
        <v>KT005639</v>
      </c>
      <c r="J550" s="12" t="str">
        <f>"KB Company SAGL"</f>
        <v>KB Company SAGL</v>
      </c>
      <c r="K550" s="12" t="str">
        <f>"Via San Gottardo 80"</f>
        <v>Via San Gottardo 80</v>
      </c>
      <c r="L550" s="12" t="str">
        <f>"CH-6900"</f>
        <v>CH-6900</v>
      </c>
      <c r="M550" s="12" t="str">
        <f>"Massagno"</f>
        <v>Massagno</v>
      </c>
      <c r="N550" s="12" t="str">
        <f>"CHRN-AR-20001891"</f>
        <v>CHRN-AR-20001891</v>
      </c>
      <c r="O550" s="12" t="str">
        <f>"KT001216"</f>
        <v>KT001216</v>
      </c>
      <c r="P550" s="13" t="str">
        <f>"Mediq Suisse AG"</f>
        <v>Mediq Suisse AG</v>
      </c>
    </row>
    <row r="551" spans="1:16" x14ac:dyDescent="0.15">
      <c r="A551" s="11" t="str">
        <f>"WEL-95500"</f>
        <v>WEL-95500</v>
      </c>
      <c r="B551" s="12" t="str">
        <f>"Sinaqua Waschtücher|20x21cm"</f>
        <v>Sinaqua Waschtücher|20x21cm</v>
      </c>
      <c r="C551" s="12" t="str">
        <f>"MDR Risikoklasse I"</f>
        <v>MDR Risikoklasse I</v>
      </c>
      <c r="D551" s="12" t="str">
        <f>"KT004914"</f>
        <v>KT004914</v>
      </c>
      <c r="E551" s="12" t="str">
        <f>"Welcare Industries S.p.a"</f>
        <v>Welcare Industries S.p.a</v>
      </c>
      <c r="F551" s="12" t="str">
        <f>"via dei Falegnami, 7"</f>
        <v>via dei Falegnami, 7</v>
      </c>
      <c r="G551" s="12" t="str">
        <f>"IT-050180"</f>
        <v>IT-050180</v>
      </c>
      <c r="H551" s="12" t="str">
        <f>"Orvieto"</f>
        <v>Orvieto</v>
      </c>
      <c r="I551" s="12" t="str">
        <f>"KT005639"</f>
        <v>KT005639</v>
      </c>
      <c r="J551" s="12" t="str">
        <f>"KB Company SAGL"</f>
        <v>KB Company SAGL</v>
      </c>
      <c r="K551" s="12" t="str">
        <f>"Via San Gottardo 80"</f>
        <v>Via San Gottardo 80</v>
      </c>
      <c r="L551" s="12" t="str">
        <f>"CH-6900"</f>
        <v>CH-6900</v>
      </c>
      <c r="M551" s="12" t="str">
        <f>"Massagno"</f>
        <v>Massagno</v>
      </c>
      <c r="N551" s="12" t="str">
        <f>"CHRN-AR-20001891"</f>
        <v>CHRN-AR-20001891</v>
      </c>
      <c r="O551" s="12" t="str">
        <f>"KT001216"</f>
        <v>KT001216</v>
      </c>
      <c r="P551" s="13" t="str">
        <f>"Mediq Suisse AG"</f>
        <v>Mediq Suisse AG</v>
      </c>
    </row>
    <row r="552" spans="1:16" x14ac:dyDescent="0.15">
      <c r="A552" s="11" t="str">
        <f>"WEL-95503"</f>
        <v>WEL-95503</v>
      </c>
      <c r="B552" s="12" t="str">
        <f>"SINAQUA™ Nourishing Skin Balm 200ml"</f>
        <v>SINAQUA™ Nourishing Skin Balm 200ml</v>
      </c>
      <c r="C552" s="12" t="str">
        <f>"MDR Risikoklasse I"</f>
        <v>MDR Risikoklasse I</v>
      </c>
      <c r="D552" s="12" t="str">
        <f>"KT004914"</f>
        <v>KT004914</v>
      </c>
      <c r="E552" s="12" t="str">
        <f>"Welcare Industries S.p.a"</f>
        <v>Welcare Industries S.p.a</v>
      </c>
      <c r="F552" s="12" t="str">
        <f>"via dei Falegnami, 7"</f>
        <v>via dei Falegnami, 7</v>
      </c>
      <c r="G552" s="12" t="str">
        <f>"IT-050180"</f>
        <v>IT-050180</v>
      </c>
      <c r="H552" s="12" t="str">
        <f>"Orvieto"</f>
        <v>Orvieto</v>
      </c>
      <c r="I552" s="12" t="str">
        <f>"KT005639"</f>
        <v>KT005639</v>
      </c>
      <c r="J552" s="12" t="str">
        <f>"KB Company SAGL"</f>
        <v>KB Company SAGL</v>
      </c>
      <c r="K552" s="12" t="str">
        <f>"Via San Gottardo 80"</f>
        <v>Via San Gottardo 80</v>
      </c>
      <c r="L552" s="12" t="str">
        <f>"CH-6900"</f>
        <v>CH-6900</v>
      </c>
      <c r="M552" s="12" t="str">
        <f>"Massagno"</f>
        <v>Massagno</v>
      </c>
      <c r="N552" s="12" t="str">
        <f>"CHRN-AR-20001891"</f>
        <v>CHRN-AR-20001891</v>
      </c>
      <c r="O552" s="12" t="str">
        <f>"KT001216"</f>
        <v>KT001216</v>
      </c>
      <c r="P552" s="13" t="str">
        <f>"Mediq Suisse AG"</f>
        <v>Mediq Suisse AG</v>
      </c>
    </row>
    <row r="553" spans="1:16" x14ac:dyDescent="0.15">
      <c r="A553" s="11" t="str">
        <f>"WEL-95507"</f>
        <v>WEL-95507</v>
      </c>
      <c r="B553" s="12" t="str">
        <f>"Jalosome Hydrating Cream"</f>
        <v>Jalosome Hydrating Cream</v>
      </c>
      <c r="C553" s="12" t="str">
        <f>"MDR Risikoklasse IIa"</f>
        <v>MDR Risikoklasse IIa</v>
      </c>
      <c r="D553" s="12" t="str">
        <f>"KT004914"</f>
        <v>KT004914</v>
      </c>
      <c r="E553" s="12" t="str">
        <f>"Welcare Industries S.p.a"</f>
        <v>Welcare Industries S.p.a</v>
      </c>
      <c r="F553" s="12" t="str">
        <f>"via dei Falegnami, 7"</f>
        <v>via dei Falegnami, 7</v>
      </c>
      <c r="G553" s="12" t="str">
        <f>"IT-050180"</f>
        <v>IT-050180</v>
      </c>
      <c r="H553" s="12" t="str">
        <f>"Orvieto"</f>
        <v>Orvieto</v>
      </c>
      <c r="I553" s="12" t="str">
        <f>"KT005639"</f>
        <v>KT005639</v>
      </c>
      <c r="J553" s="12" t="str">
        <f>"KB Company SAGL"</f>
        <v>KB Company SAGL</v>
      </c>
      <c r="K553" s="12" t="str">
        <f>"Via San Gottardo 80"</f>
        <v>Via San Gottardo 80</v>
      </c>
      <c r="L553" s="12" t="str">
        <f>"CH-6900"</f>
        <v>CH-6900</v>
      </c>
      <c r="M553" s="12" t="str">
        <f>"Massagno"</f>
        <v>Massagno</v>
      </c>
      <c r="N553" s="12" t="str">
        <f>"CHRN-AR-20001891"</f>
        <v>CHRN-AR-20001891</v>
      </c>
      <c r="O553" s="12" t="str">
        <f>"KT001216"</f>
        <v>KT001216</v>
      </c>
      <c r="P553" s="13" t="str">
        <f>"Mediq Suisse AG"</f>
        <v>Mediq Suisse AG</v>
      </c>
    </row>
    <row r="554" spans="1:16" x14ac:dyDescent="0.15">
      <c r="A554" s="11" t="str">
        <f>"WEL-95539"</f>
        <v>WEL-95539</v>
      </c>
      <c r="B554" s="12" t="str">
        <f>"Sinaqua Waschhandschuhe 2% Chlorhexidin|22x16cm"</f>
        <v>Sinaqua Waschhandschuhe 2% Chlorhexidin|22x16cm</v>
      </c>
      <c r="C554" s="12" t="str">
        <f>"MDR Risikoklasse I"</f>
        <v>MDR Risikoklasse I</v>
      </c>
      <c r="D554" s="12" t="str">
        <f>"KT004914"</f>
        <v>KT004914</v>
      </c>
      <c r="E554" s="12" t="str">
        <f>"Welcare Industries S.p.a"</f>
        <v>Welcare Industries S.p.a</v>
      </c>
      <c r="F554" s="12" t="str">
        <f>"via dei Falegnami, 7"</f>
        <v>via dei Falegnami, 7</v>
      </c>
      <c r="G554" s="12" t="str">
        <f>"IT-050180"</f>
        <v>IT-050180</v>
      </c>
      <c r="H554" s="12" t="str">
        <f>"Orvieto"</f>
        <v>Orvieto</v>
      </c>
      <c r="I554" s="12" t="str">
        <f>"KT005639"</f>
        <v>KT005639</v>
      </c>
      <c r="J554" s="12" t="str">
        <f>"KB Company SAGL"</f>
        <v>KB Company SAGL</v>
      </c>
      <c r="K554" s="12" t="str">
        <f>"Via San Gottardo 80"</f>
        <v>Via San Gottardo 80</v>
      </c>
      <c r="L554" s="12" t="str">
        <f>"CH-6900"</f>
        <v>CH-6900</v>
      </c>
      <c r="M554" s="12" t="str">
        <f>"Massagno"</f>
        <v>Massagno</v>
      </c>
      <c r="N554" s="12" t="str">
        <f>"CHRN-AR-20001891"</f>
        <v>CHRN-AR-20001891</v>
      </c>
      <c r="O554" s="12" t="str">
        <f>"KT001216"</f>
        <v>KT001216</v>
      </c>
      <c r="P554" s="13" t="str">
        <f>"Mediq Suisse AG"</f>
        <v>Mediq Suisse AG</v>
      </c>
    </row>
    <row r="555" spans="1:16" x14ac:dyDescent="0.15">
      <c r="A555" s="11" t="str">
        <f>"WEL-95555"</f>
        <v>WEL-95555</v>
      </c>
      <c r="B555" s="12" t="str">
        <f>"SINAQUA Pediatrics Glove"</f>
        <v>SINAQUA Pediatrics Glove</v>
      </c>
      <c r="C555" s="12" t="str">
        <f>"MDR Risikoklasse I"</f>
        <v>MDR Risikoklasse I</v>
      </c>
      <c r="D555" s="12" t="str">
        <f>"KT004914"</f>
        <v>KT004914</v>
      </c>
      <c r="E555" s="12" t="str">
        <f>"Welcare Industries S.p.a"</f>
        <v>Welcare Industries S.p.a</v>
      </c>
      <c r="F555" s="12" t="str">
        <f>"via dei Falegnami, 7"</f>
        <v>via dei Falegnami, 7</v>
      </c>
      <c r="G555" s="12" t="str">
        <f>"IT-050180"</f>
        <v>IT-050180</v>
      </c>
      <c r="H555" s="12" t="str">
        <f>"Orvieto"</f>
        <v>Orvieto</v>
      </c>
      <c r="I555" s="12" t="str">
        <f>"KT005639"</f>
        <v>KT005639</v>
      </c>
      <c r="J555" s="12" t="str">
        <f>"KB Company SAGL"</f>
        <v>KB Company SAGL</v>
      </c>
      <c r="K555" s="12" t="str">
        <f>"Via San Gottardo 80"</f>
        <v>Via San Gottardo 80</v>
      </c>
      <c r="L555" s="12" t="str">
        <f>"CH-6900"</f>
        <v>CH-6900</v>
      </c>
      <c r="M555" s="12" t="str">
        <f>"Massagno"</f>
        <v>Massagno</v>
      </c>
      <c r="N555" s="12" t="str">
        <f>"CHRN-AR-20001891"</f>
        <v>CHRN-AR-20001891</v>
      </c>
      <c r="O555" s="12" t="str">
        <f>"KT001216"</f>
        <v>KT001216</v>
      </c>
      <c r="P555" s="13" t="str">
        <f>"Mediq Suisse AG"</f>
        <v>Mediq Suisse AG</v>
      </c>
    </row>
    <row r="556" spans="1:16" x14ac:dyDescent="0.15">
      <c r="A556" s="11" t="str">
        <f>"WEL-95580"</f>
        <v>WEL-95580</v>
      </c>
      <c r="B556" s="12" t="str">
        <f>"Sinaqua Waschhandschuhe|22x16cm"</f>
        <v>Sinaqua Waschhandschuhe|22x16cm</v>
      </c>
      <c r="C556" s="12" t="str">
        <f>"MDR Risikoklasse I"</f>
        <v>MDR Risikoklasse I</v>
      </c>
      <c r="D556" s="12" t="str">
        <f>"KT004914"</f>
        <v>KT004914</v>
      </c>
      <c r="E556" s="12" t="str">
        <f>"Welcare Industries S.p.a"</f>
        <v>Welcare Industries S.p.a</v>
      </c>
      <c r="F556" s="12" t="str">
        <f>"via dei Falegnami, 7"</f>
        <v>via dei Falegnami, 7</v>
      </c>
      <c r="G556" s="12" t="str">
        <f>"IT-050180"</f>
        <v>IT-050180</v>
      </c>
      <c r="H556" s="12" t="str">
        <f>"Orvieto"</f>
        <v>Orvieto</v>
      </c>
      <c r="I556" s="12" t="str">
        <f>"KT005639"</f>
        <v>KT005639</v>
      </c>
      <c r="J556" s="12" t="str">
        <f>"KB Company SAGL"</f>
        <v>KB Company SAGL</v>
      </c>
      <c r="K556" s="12" t="str">
        <f>"Via San Gottardo 80"</f>
        <v>Via San Gottardo 80</v>
      </c>
      <c r="L556" s="12" t="str">
        <f>"CH-6900"</f>
        <v>CH-6900</v>
      </c>
      <c r="M556" s="12" t="str">
        <f>"Massagno"</f>
        <v>Massagno</v>
      </c>
      <c r="N556" s="12" t="str">
        <f>"CHRN-AR-20001891"</f>
        <v>CHRN-AR-20001891</v>
      </c>
      <c r="O556" s="12" t="str">
        <f>"KT001216"</f>
        <v>KT001216</v>
      </c>
      <c r="P556" s="13" t="str">
        <f>"Mediq Suisse AG"</f>
        <v>Mediq Suisse AG</v>
      </c>
    </row>
    <row r="557" spans="1:16" x14ac:dyDescent="0.15">
      <c r="A557" s="11" t="str">
        <f>"WEL-95604S"</f>
        <v>WEL-95604S</v>
      </c>
      <c r="B557" s="12" t="str">
        <f>"Easyderm Waschtuch|steril"</f>
        <v>Easyderm Waschtuch|steril</v>
      </c>
      <c r="C557" s="12" t="str">
        <f>"MDR Risikoklasse IIa"</f>
        <v>MDR Risikoklasse IIa</v>
      </c>
      <c r="D557" s="12" t="str">
        <f>"KT004914"</f>
        <v>KT004914</v>
      </c>
      <c r="E557" s="12" t="str">
        <f>"Welcare Industries S.p.a"</f>
        <v>Welcare Industries S.p.a</v>
      </c>
      <c r="F557" s="12" t="str">
        <f>"via dei Falegnami, 7"</f>
        <v>via dei Falegnami, 7</v>
      </c>
      <c r="G557" s="12" t="str">
        <f>"IT-050180"</f>
        <v>IT-050180</v>
      </c>
      <c r="H557" s="12" t="str">
        <f>"Orvieto"</f>
        <v>Orvieto</v>
      </c>
      <c r="I557" s="12" t="str">
        <f>"KT005639"</f>
        <v>KT005639</v>
      </c>
      <c r="J557" s="12" t="str">
        <f>"KB Company SAGL"</f>
        <v>KB Company SAGL</v>
      </c>
      <c r="K557" s="12" t="str">
        <f>"Via San Gottardo 80"</f>
        <v>Via San Gottardo 80</v>
      </c>
      <c r="L557" s="12" t="str">
        <f>"CH-6900"</f>
        <v>CH-6900</v>
      </c>
      <c r="M557" s="12" t="str">
        <f>"Massagno"</f>
        <v>Massagno</v>
      </c>
      <c r="N557" s="12" t="str">
        <f>"CHRN-AR-20001891"</f>
        <v>CHRN-AR-20001891</v>
      </c>
      <c r="O557" s="12" t="str">
        <f>"KT001216"</f>
        <v>KT001216</v>
      </c>
      <c r="P557" s="13" t="str">
        <f>"Mediq Suisse AG"</f>
        <v>Mediq Suisse AG</v>
      </c>
    </row>
    <row r="558" spans="1:16" x14ac:dyDescent="0.15">
      <c r="A558" s="11" t="str">
        <f>"WEL-95810"</f>
        <v>WEL-95810</v>
      </c>
      <c r="B558" s="12" t="str">
        <f>"Jalosome Soothing Gel"</f>
        <v>Jalosome Soothing Gel</v>
      </c>
      <c r="C558" s="12" t="str">
        <f>"MDR Risikoklasse IIa"</f>
        <v>MDR Risikoklasse IIa</v>
      </c>
      <c r="D558" s="12" t="str">
        <f>"KT004914"</f>
        <v>KT004914</v>
      </c>
      <c r="E558" s="12" t="str">
        <f>"Welcare Industries S.p.a"</f>
        <v>Welcare Industries S.p.a</v>
      </c>
      <c r="F558" s="12" t="str">
        <f>"via dei Falegnami, 7"</f>
        <v>via dei Falegnami, 7</v>
      </c>
      <c r="G558" s="12" t="str">
        <f>"IT-050180"</f>
        <v>IT-050180</v>
      </c>
      <c r="H558" s="12" t="str">
        <f>"Orvieto"</f>
        <v>Orvieto</v>
      </c>
      <c r="I558" s="12" t="str">
        <f>"KT005639"</f>
        <v>KT005639</v>
      </c>
      <c r="J558" s="12" t="str">
        <f>"KB Company SAGL"</f>
        <v>KB Company SAGL</v>
      </c>
      <c r="K558" s="12" t="str">
        <f>"Via San Gottardo 80"</f>
        <v>Via San Gottardo 80</v>
      </c>
      <c r="L558" s="12" t="str">
        <f>"CH-6900"</f>
        <v>CH-6900</v>
      </c>
      <c r="M558" s="12" t="str">
        <f>"Massagno"</f>
        <v>Massagno</v>
      </c>
      <c r="N558" s="12" t="str">
        <f>"CHRN-AR-20001891"</f>
        <v>CHRN-AR-20001891</v>
      </c>
      <c r="O558" s="12" t="str">
        <f>"KT001216"</f>
        <v>KT001216</v>
      </c>
      <c r="P558" s="13" t="str">
        <f>"Mediq Suisse AG"</f>
        <v>Mediq Suisse AG</v>
      </c>
    </row>
    <row r="559" spans="1:16" x14ac:dyDescent="0.15">
      <c r="A559" s="11" t="str">
        <f>"WEL-95810F"</f>
        <v>WEL-95810F</v>
      </c>
      <c r="B559" s="12" t="str">
        <f>"Jalosome Soothing Gel "</f>
        <v xml:space="preserve">Jalosome Soothing Gel </v>
      </c>
      <c r="C559" s="12" t="str">
        <f>"MDR Risikoklasse IIa"</f>
        <v>MDR Risikoklasse IIa</v>
      </c>
      <c r="D559" s="12" t="str">
        <f>"KT004914"</f>
        <v>KT004914</v>
      </c>
      <c r="E559" s="12" t="str">
        <f>"Welcare Industries S.p.a"</f>
        <v>Welcare Industries S.p.a</v>
      </c>
      <c r="F559" s="12" t="str">
        <f>"via dei Falegnami, 7"</f>
        <v>via dei Falegnami, 7</v>
      </c>
      <c r="G559" s="12" t="str">
        <f>"IT-050180"</f>
        <v>IT-050180</v>
      </c>
      <c r="H559" s="12" t="str">
        <f>"Orvieto"</f>
        <v>Orvieto</v>
      </c>
      <c r="I559" s="12" t="str">
        <f>"KT005639"</f>
        <v>KT005639</v>
      </c>
      <c r="J559" s="12" t="str">
        <f>"KB Company SAGL"</f>
        <v>KB Company SAGL</v>
      </c>
      <c r="K559" s="12" t="str">
        <f>"Via San Gottardo 80"</f>
        <v>Via San Gottardo 80</v>
      </c>
      <c r="L559" s="12" t="str">
        <f>"CH-6900"</f>
        <v>CH-6900</v>
      </c>
      <c r="M559" s="12" t="str">
        <f>"Massagno"</f>
        <v>Massagno</v>
      </c>
      <c r="N559" s="12" t="str">
        <f>"CHRN-AR-20001891"</f>
        <v>CHRN-AR-20001891</v>
      </c>
      <c r="O559" s="12" t="str">
        <f>"KT001216"</f>
        <v>KT001216</v>
      </c>
      <c r="P559" s="13" t="str">
        <f>"Mediq Suisse AG"</f>
        <v>Mediq Suisse AG</v>
      </c>
    </row>
    <row r="560" spans="1:16" x14ac:dyDescent="0.15">
      <c r="A560" s="14" t="str">
        <f>""</f>
        <v/>
      </c>
      <c r="B560" s="15" t="str">
        <f>""</f>
        <v/>
      </c>
      <c r="C560" s="16"/>
      <c r="D560" s="17" t="str">
        <f>""</f>
        <v/>
      </c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 t="str">
        <f>""</f>
        <v/>
      </c>
      <c r="P560" s="18"/>
    </row>
    <row r="568" spans="1:17" x14ac:dyDescent="0.15">
      <c r="A568"/>
      <c r="B568"/>
    </row>
    <row r="569" spans="1:17" x14ac:dyDescent="0.15">
      <c r="A569"/>
      <c r="B569"/>
    </row>
    <row r="570" spans="1:17" x14ac:dyDescent="0.15">
      <c r="A570"/>
      <c r="B570"/>
    </row>
    <row r="571" spans="1:17" x14ac:dyDescent="0.15">
      <c r="Q571" s="21"/>
    </row>
  </sheetData>
  <mergeCells count="4">
    <mergeCell ref="C4:D4"/>
    <mergeCell ref="A4:B4"/>
    <mergeCell ref="A6:C6"/>
    <mergeCell ref="E6:G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32" fitToHeight="9999" orientation="landscape" r:id="rId1"/>
  <headerFooter>
    <oddFooter>&amp;L&amp;G&amp;Cwww.mediqsuisse.ch | Tel. +41 52 720 25 26| Änderungen vorbehalten&amp;R&amp;D Seite &amp;P /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Artikel MDR Swiss AR</vt:lpstr>
      <vt:lpstr>'Artikel MDR Swiss AR'!Drucktitel</vt:lpstr>
    </vt:vector>
  </TitlesOfParts>
  <Company>Globomedica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Herrmann (HEDI)</dc:creator>
  <cp:lastModifiedBy>scheduler</cp:lastModifiedBy>
  <cp:lastPrinted>2022-07-12T13:09:35Z</cp:lastPrinted>
  <dcterms:created xsi:type="dcterms:W3CDTF">2010-04-20T15:50:49Z</dcterms:created>
  <dcterms:modified xsi:type="dcterms:W3CDTF">2024-04-28T11:43:12Z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\	;	;	{	}	[@[{0}]]	1031	2055</vt:lpwstr>
  </property>
</Properties>
</file>